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ソーラーパネル+蓄電池\"/>
    </mc:Choice>
  </mc:AlternateContent>
  <xr:revisionPtr revIDLastSave="0" documentId="13_ncr:1_{1A7AC9A6-1CD9-4960-B7F1-6964698A6B47}" xr6:coauthVersionLast="47" xr6:coauthVersionMax="47" xr10:uidLastSave="{00000000-0000-0000-0000-000000000000}"/>
  <bookViews>
    <workbookView xWindow="0" yWindow="0" windowWidth="28800" windowHeight="31800" xr2:uid="{1D2F4C44-E40F-4703-8E15-C1D847BFC250}"/>
  </bookViews>
  <sheets>
    <sheet name="太陽光＋蓄電池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G36" i="1"/>
  <c r="H36" i="1"/>
  <c r="I36" i="1"/>
  <c r="J36" i="1"/>
  <c r="K36" i="1"/>
  <c r="L36" i="1"/>
  <c r="M36" i="1"/>
  <c r="N36" i="1"/>
  <c r="O36" i="1"/>
  <c r="P36" i="1"/>
  <c r="Q36" i="1"/>
  <c r="H38" i="1" l="1"/>
  <c r="P37" i="1"/>
  <c r="I38" i="1"/>
  <c r="G37" i="1"/>
  <c r="F38" i="1"/>
  <c r="Q37" i="1"/>
  <c r="R36" i="1"/>
  <c r="G38" i="1"/>
  <c r="F37" i="1"/>
  <c r="R48" i="1"/>
  <c r="Q31" i="1"/>
  <c r="Q32" i="1" s="1"/>
  <c r="P31" i="1"/>
  <c r="P32" i="1" s="1"/>
  <c r="O31" i="1"/>
  <c r="O32" i="1" s="1"/>
  <c r="N31" i="1"/>
  <c r="N32" i="1" s="1"/>
  <c r="M31" i="1"/>
  <c r="M32" i="1" s="1"/>
  <c r="L31" i="1"/>
  <c r="L32" i="1" s="1"/>
  <c r="K31" i="1"/>
  <c r="K32" i="1" s="1"/>
  <c r="J31" i="1"/>
  <c r="J32" i="1" s="1"/>
  <c r="I31" i="1"/>
  <c r="I32" i="1" s="1"/>
  <c r="H31" i="1"/>
  <c r="H32" i="1" s="1"/>
  <c r="G31" i="1"/>
  <c r="G32" i="1" s="1"/>
  <c r="F31" i="1"/>
  <c r="F32" i="1" s="1"/>
  <c r="F49" i="1"/>
  <c r="R33" i="1"/>
  <c r="D63" i="1"/>
  <c r="D42" i="1"/>
  <c r="F13" i="1"/>
  <c r="D65" i="1" s="1"/>
  <c r="F12" i="1"/>
  <c r="D64" i="1" s="1"/>
  <c r="D21" i="1"/>
  <c r="O37" i="1" s="1"/>
  <c r="F42" i="1"/>
  <c r="Q43" i="1"/>
  <c r="M43" i="1"/>
  <c r="L43" i="1"/>
  <c r="K42" i="1"/>
  <c r="J43" i="1"/>
  <c r="I43" i="1"/>
  <c r="H42" i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H37" i="1" l="1"/>
  <c r="H40" i="1" s="1"/>
  <c r="J38" i="1"/>
  <c r="J41" i="1" s="1"/>
  <c r="J53" i="1" s="1"/>
  <c r="N38" i="1"/>
  <c r="N41" i="1" s="1"/>
  <c r="N53" i="1" s="1"/>
  <c r="L37" i="1"/>
  <c r="L40" i="1" s="1"/>
  <c r="M37" i="1"/>
  <c r="N37" i="1"/>
  <c r="N40" i="1" s="1"/>
  <c r="Q38" i="1"/>
  <c r="P38" i="1"/>
  <c r="L38" i="1"/>
  <c r="L41" i="1" s="1"/>
  <c r="L53" i="1" s="1"/>
  <c r="M38" i="1"/>
  <c r="M41" i="1" s="1"/>
  <c r="M53" i="1" s="1"/>
  <c r="K37" i="1"/>
  <c r="I37" i="1"/>
  <c r="O38" i="1"/>
  <c r="O41" i="1" s="1"/>
  <c r="O53" i="1" s="1"/>
  <c r="K38" i="1"/>
  <c r="K41" i="1" s="1"/>
  <c r="K53" i="1" s="1"/>
  <c r="J37" i="1"/>
  <c r="J40" i="1" s="1"/>
  <c r="F39" i="1"/>
  <c r="D44" i="1"/>
  <c r="I42" i="1"/>
  <c r="I44" i="1" s="1"/>
  <c r="P42" i="1"/>
  <c r="Q42" i="1"/>
  <c r="Q44" i="1" s="1"/>
  <c r="P43" i="1"/>
  <c r="G43" i="1"/>
  <c r="H43" i="1"/>
  <c r="H44" i="1" s="1"/>
  <c r="G42" i="1"/>
  <c r="D43" i="1"/>
  <c r="N43" i="1"/>
  <c r="O43" i="1"/>
  <c r="N42" i="1"/>
  <c r="L42" i="1"/>
  <c r="L44" i="1" s="1"/>
  <c r="O42" i="1"/>
  <c r="F43" i="1"/>
  <c r="F44" i="1" s="1"/>
  <c r="M42" i="1"/>
  <c r="M44" i="1" s="1"/>
  <c r="J42" i="1"/>
  <c r="J44" i="1" s="1"/>
  <c r="K43" i="1"/>
  <c r="K44" i="1" s="1"/>
  <c r="N35" i="1"/>
  <c r="O34" i="1"/>
  <c r="P35" i="1"/>
  <c r="Q35" i="1"/>
  <c r="I35" i="1"/>
  <c r="G35" i="1"/>
  <c r="H35" i="1"/>
  <c r="J34" i="1"/>
  <c r="K35" i="1"/>
  <c r="L35" i="1"/>
  <c r="M35" i="1"/>
  <c r="Q34" i="1"/>
  <c r="F34" i="1"/>
  <c r="F35" i="1"/>
  <c r="F40" i="1"/>
  <c r="F50" i="1" s="1"/>
  <c r="P34" i="1"/>
  <c r="I34" i="1"/>
  <c r="H34" i="1"/>
  <c r="O35" i="1"/>
  <c r="G34" i="1"/>
  <c r="K34" i="1"/>
  <c r="M34" i="1"/>
  <c r="L34" i="1"/>
  <c r="N34" i="1"/>
  <c r="J35" i="1"/>
  <c r="Q39" i="1"/>
  <c r="P39" i="1"/>
  <c r="O39" i="1"/>
  <c r="N39" i="1"/>
  <c r="M39" i="1"/>
  <c r="L39" i="1"/>
  <c r="K39" i="1"/>
  <c r="J39" i="1"/>
  <c r="I39" i="1"/>
  <c r="H39" i="1"/>
  <c r="G39" i="1"/>
  <c r="Q49" i="1"/>
  <c r="P49" i="1"/>
  <c r="O49" i="1"/>
  <c r="N49" i="1"/>
  <c r="M49" i="1"/>
  <c r="L49" i="1"/>
  <c r="K49" i="1"/>
  <c r="J49" i="1"/>
  <c r="I49" i="1"/>
  <c r="H49" i="1"/>
  <c r="G49" i="1"/>
  <c r="Q41" i="1"/>
  <c r="Q53" i="1" s="1"/>
  <c r="P41" i="1"/>
  <c r="P53" i="1" s="1"/>
  <c r="I41" i="1"/>
  <c r="I53" i="1" s="1"/>
  <c r="H41" i="1"/>
  <c r="H53" i="1" s="1"/>
  <c r="G41" i="1"/>
  <c r="G53" i="1" s="1"/>
  <c r="Q40" i="1"/>
  <c r="P40" i="1"/>
  <c r="O40" i="1"/>
  <c r="M40" i="1"/>
  <c r="K40" i="1"/>
  <c r="G40" i="1"/>
  <c r="R37" i="1" l="1"/>
  <c r="R38" i="1"/>
  <c r="I40" i="1"/>
  <c r="R40" i="1" s="1"/>
  <c r="R49" i="1"/>
  <c r="F51" i="1"/>
  <c r="G44" i="1"/>
  <c r="G45" i="1" s="1"/>
  <c r="G47" i="1" s="1"/>
  <c r="N44" i="1"/>
  <c r="N45" i="1" s="1"/>
  <c r="N47" i="1" s="1"/>
  <c r="P44" i="1"/>
  <c r="P45" i="1" s="1"/>
  <c r="P46" i="1" s="1"/>
  <c r="O44" i="1"/>
  <c r="F41" i="1"/>
  <c r="F53" i="1" s="1"/>
  <c r="R53" i="1" s="1"/>
  <c r="R42" i="1"/>
  <c r="R35" i="1"/>
  <c r="R34" i="1"/>
  <c r="R43" i="1"/>
  <c r="R39" i="1"/>
  <c r="L45" i="1"/>
  <c r="L46" i="1" s="1"/>
  <c r="O50" i="1"/>
  <c r="F45" i="1"/>
  <c r="H45" i="1"/>
  <c r="H46" i="1" s="1"/>
  <c r="M45" i="1"/>
  <c r="M47" i="1" s="1"/>
  <c r="Q50" i="1"/>
  <c r="G50" i="1"/>
  <c r="P50" i="1"/>
  <c r="K50" i="1"/>
  <c r="H50" i="1"/>
  <c r="N50" i="1"/>
  <c r="J50" i="1"/>
  <c r="L50" i="1"/>
  <c r="M50" i="1"/>
  <c r="K45" i="1"/>
  <c r="K47" i="1" s="1"/>
  <c r="J45" i="1"/>
  <c r="J47" i="1" s="1"/>
  <c r="Q45" i="1"/>
  <c r="I45" i="1"/>
  <c r="I50" i="1" l="1"/>
  <c r="R50" i="1"/>
  <c r="F52" i="1"/>
  <c r="F54" i="1"/>
  <c r="R44" i="1"/>
  <c r="G51" i="1"/>
  <c r="G54" i="1" s="1"/>
  <c r="G55" i="1" s="1"/>
  <c r="Q51" i="1"/>
  <c r="Q54" i="1" s="1"/>
  <c r="Q55" i="1" s="1"/>
  <c r="L51" i="1"/>
  <c r="L54" i="1" s="1"/>
  <c r="L55" i="1" s="1"/>
  <c r="H51" i="1"/>
  <c r="H54" i="1" s="1"/>
  <c r="H55" i="1" s="1"/>
  <c r="K51" i="1"/>
  <c r="K54" i="1" s="1"/>
  <c r="K55" i="1" s="1"/>
  <c r="O51" i="1"/>
  <c r="O54" i="1" s="1"/>
  <c r="O55" i="1" s="1"/>
  <c r="M51" i="1"/>
  <c r="M54" i="1" s="1"/>
  <c r="M55" i="1" s="1"/>
  <c r="J51" i="1"/>
  <c r="J54" i="1" s="1"/>
  <c r="J55" i="1" s="1"/>
  <c r="I51" i="1"/>
  <c r="I54" i="1" s="1"/>
  <c r="I55" i="1" s="1"/>
  <c r="N51" i="1"/>
  <c r="N54" i="1" s="1"/>
  <c r="N55" i="1" s="1"/>
  <c r="P51" i="1"/>
  <c r="P54" i="1" s="1"/>
  <c r="P55" i="1" s="1"/>
  <c r="R41" i="1"/>
  <c r="O45" i="1"/>
  <c r="O46" i="1" s="1"/>
  <c r="F46" i="1"/>
  <c r="L47" i="1"/>
  <c r="K46" i="1"/>
  <c r="P47" i="1"/>
  <c r="N46" i="1"/>
  <c r="M46" i="1"/>
  <c r="H47" i="1"/>
  <c r="F47" i="1"/>
  <c r="J46" i="1"/>
  <c r="G46" i="1"/>
  <c r="Q47" i="1"/>
  <c r="Q46" i="1"/>
  <c r="I47" i="1"/>
  <c r="I46" i="1"/>
  <c r="F55" i="1" l="1"/>
  <c r="F57" i="1" s="1"/>
  <c r="F58" i="1" s="1"/>
  <c r="F59" i="1" s="1"/>
  <c r="F60" i="1" s="1"/>
  <c r="R54" i="1"/>
  <c r="R46" i="1"/>
  <c r="R51" i="1"/>
  <c r="R45" i="1"/>
  <c r="M56" i="1"/>
  <c r="M61" i="1" s="1"/>
  <c r="M62" i="1" s="1"/>
  <c r="M57" i="1"/>
  <c r="I56" i="1"/>
  <c r="I61" i="1" s="1"/>
  <c r="I62" i="1" s="1"/>
  <c r="I57" i="1"/>
  <c r="I58" i="1" s="1"/>
  <c r="I59" i="1" s="1"/>
  <c r="K56" i="1"/>
  <c r="K61" i="1" s="1"/>
  <c r="K62" i="1" s="1"/>
  <c r="K57" i="1"/>
  <c r="K58" i="1" s="1"/>
  <c r="K59" i="1" s="1"/>
  <c r="P52" i="1"/>
  <c r="L52" i="1"/>
  <c r="N52" i="1"/>
  <c r="O52" i="1"/>
  <c r="Q52" i="1"/>
  <c r="H52" i="1"/>
  <c r="G52" i="1"/>
  <c r="K52" i="1"/>
  <c r="J52" i="1"/>
  <c r="I52" i="1"/>
  <c r="M52" i="1"/>
  <c r="O47" i="1"/>
  <c r="R47" i="1" s="1"/>
  <c r="R52" i="1" l="1"/>
  <c r="Q103" i="1"/>
  <c r="P103" i="1"/>
  <c r="E103" i="1"/>
  <c r="O103" i="1"/>
  <c r="F103" i="1"/>
  <c r="R103" i="1"/>
  <c r="N103" i="1"/>
  <c r="K103" i="1"/>
  <c r="W103" i="1"/>
  <c r="M103" i="1"/>
  <c r="D103" i="1"/>
  <c r="L103" i="1"/>
  <c r="V103" i="1"/>
  <c r="U103" i="1"/>
  <c r="T103" i="1"/>
  <c r="J103" i="1"/>
  <c r="G103" i="1"/>
  <c r="I103" i="1"/>
  <c r="H103" i="1"/>
  <c r="S103" i="1"/>
  <c r="F56" i="1"/>
  <c r="R55" i="1"/>
  <c r="I64" i="1"/>
  <c r="I63" i="1"/>
  <c r="M64" i="1"/>
  <c r="M63" i="1"/>
  <c r="K64" i="1"/>
  <c r="K63" i="1"/>
  <c r="M58" i="1"/>
  <c r="M59" i="1" s="1"/>
  <c r="M60" i="1" s="1"/>
  <c r="K60" i="1"/>
  <c r="O56" i="1"/>
  <c r="O61" i="1" s="1"/>
  <c r="O62" i="1" s="1"/>
  <c r="O57" i="1"/>
  <c r="L56" i="1"/>
  <c r="L61" i="1" s="1"/>
  <c r="L62" i="1" s="1"/>
  <c r="L57" i="1"/>
  <c r="P56" i="1"/>
  <c r="P61" i="1" s="1"/>
  <c r="P62" i="1" s="1"/>
  <c r="P57" i="1"/>
  <c r="P58" i="1" s="1"/>
  <c r="P59" i="1" s="1"/>
  <c r="P60" i="1" s="1"/>
  <c r="J56" i="1"/>
  <c r="J61" i="1" s="1"/>
  <c r="J62" i="1" s="1"/>
  <c r="J57" i="1"/>
  <c r="Q56" i="1"/>
  <c r="Q61" i="1" s="1"/>
  <c r="Q62" i="1" s="1"/>
  <c r="Q57" i="1"/>
  <c r="N56" i="1"/>
  <c r="N61" i="1" s="1"/>
  <c r="N62" i="1" s="1"/>
  <c r="N57" i="1"/>
  <c r="G56" i="1"/>
  <c r="G61" i="1" s="1"/>
  <c r="G62" i="1" s="1"/>
  <c r="G57" i="1"/>
  <c r="H56" i="1"/>
  <c r="H61" i="1" s="1"/>
  <c r="H62" i="1" s="1"/>
  <c r="H57" i="1"/>
  <c r="I60" i="1"/>
  <c r="R57" i="1" l="1"/>
  <c r="F61" i="1"/>
  <c r="F62" i="1" s="1"/>
  <c r="R56" i="1"/>
  <c r="I65" i="1"/>
  <c r="I66" i="1" s="1"/>
  <c r="M65" i="1"/>
  <c r="K65" i="1"/>
  <c r="K66" i="1" s="1"/>
  <c r="K67" i="1" s="1"/>
  <c r="L63" i="1"/>
  <c r="L64" i="1"/>
  <c r="O64" i="1"/>
  <c r="O63" i="1"/>
  <c r="J64" i="1"/>
  <c r="J63" i="1"/>
  <c r="H63" i="1"/>
  <c r="H64" i="1"/>
  <c r="H65" i="1" s="1"/>
  <c r="G63" i="1"/>
  <c r="G64" i="1"/>
  <c r="N63" i="1"/>
  <c r="N64" i="1"/>
  <c r="P64" i="1"/>
  <c r="P63" i="1"/>
  <c r="Q63" i="1"/>
  <c r="Q64" i="1"/>
  <c r="N58" i="1"/>
  <c r="N59" i="1" s="1"/>
  <c r="N60" i="1" s="1"/>
  <c r="H58" i="1"/>
  <c r="H59" i="1" s="1"/>
  <c r="H60" i="1" s="1"/>
  <c r="G58" i="1"/>
  <c r="G59" i="1" s="1"/>
  <c r="G60" i="1" s="1"/>
  <c r="J58" i="1"/>
  <c r="J59" i="1" s="1"/>
  <c r="J60" i="1" s="1"/>
  <c r="O58" i="1"/>
  <c r="O59" i="1" s="1"/>
  <c r="O60" i="1" s="1"/>
  <c r="Q58" i="1"/>
  <c r="Q59" i="1" s="1"/>
  <c r="Q60" i="1" s="1"/>
  <c r="L58" i="1"/>
  <c r="L59" i="1" s="1"/>
  <c r="L60" i="1" s="1"/>
  <c r="R60" i="1" l="1"/>
  <c r="R61" i="1"/>
  <c r="F64" i="1"/>
  <c r="R64" i="1" s="1"/>
  <c r="F63" i="1"/>
  <c r="F65" i="1"/>
  <c r="R62" i="1"/>
  <c r="R58" i="1"/>
  <c r="R59" i="1"/>
  <c r="I67" i="1"/>
  <c r="N65" i="1"/>
  <c r="O65" i="1"/>
  <c r="G65" i="1"/>
  <c r="G66" i="1" s="1"/>
  <c r="P65" i="1"/>
  <c r="P66" i="1" s="1"/>
  <c r="Q65" i="1"/>
  <c r="L65" i="1"/>
  <c r="L66" i="1" s="1"/>
  <c r="L67" i="1" s="1"/>
  <c r="J65" i="1"/>
  <c r="J66" i="1" s="1"/>
  <c r="J67" i="1" s="1"/>
  <c r="M66" i="1"/>
  <c r="M67" i="1" s="1"/>
  <c r="H66" i="1"/>
  <c r="H67" i="1" s="1"/>
  <c r="W105" i="1" l="1"/>
  <c r="V105" i="1"/>
  <c r="U105" i="1"/>
  <c r="T105" i="1"/>
  <c r="S105" i="1"/>
  <c r="R105" i="1"/>
  <c r="Q105" i="1"/>
  <c r="P105" i="1"/>
  <c r="O105" i="1"/>
  <c r="N105" i="1"/>
  <c r="R63" i="1"/>
  <c r="F66" i="1"/>
  <c r="F67" i="1" s="1"/>
  <c r="R65" i="1"/>
  <c r="I105" i="1"/>
  <c r="H105" i="1"/>
  <c r="G105" i="1"/>
  <c r="K105" i="1"/>
  <c r="F105" i="1"/>
  <c r="E105" i="1"/>
  <c r="D105" i="1"/>
  <c r="C72" i="1" s="1"/>
  <c r="M105" i="1"/>
  <c r="L105" i="1"/>
  <c r="J105" i="1"/>
  <c r="P67" i="1"/>
  <c r="G67" i="1"/>
  <c r="N66" i="1"/>
  <c r="N67" i="1" s="1"/>
  <c r="O66" i="1"/>
  <c r="O67" i="1" s="1"/>
  <c r="Q66" i="1"/>
  <c r="Q67" i="1" s="1"/>
  <c r="R66" i="1" l="1"/>
  <c r="R67" i="1"/>
  <c r="O104" i="1" l="1"/>
  <c r="O106" i="1" s="1"/>
  <c r="N104" i="1"/>
  <c r="N106" i="1" s="1"/>
  <c r="D104" i="1"/>
  <c r="P104" i="1"/>
  <c r="P106" i="1" s="1"/>
  <c r="M104" i="1"/>
  <c r="M106" i="1" s="1"/>
  <c r="U104" i="1"/>
  <c r="U106" i="1" s="1"/>
  <c r="L104" i="1"/>
  <c r="L106" i="1" s="1"/>
  <c r="I104" i="1"/>
  <c r="I106" i="1" s="1"/>
  <c r="T104" i="1"/>
  <c r="T106" i="1" s="1"/>
  <c r="K104" i="1"/>
  <c r="K106" i="1" s="1"/>
  <c r="S104" i="1"/>
  <c r="S106" i="1" s="1"/>
  <c r="J104" i="1"/>
  <c r="J106" i="1" s="1"/>
  <c r="F104" i="1"/>
  <c r="F106" i="1" s="1"/>
  <c r="H104" i="1"/>
  <c r="H106" i="1" s="1"/>
  <c r="R104" i="1"/>
  <c r="R106" i="1" s="1"/>
  <c r="W104" i="1"/>
  <c r="W106" i="1" s="1"/>
  <c r="G104" i="1"/>
  <c r="G106" i="1" s="1"/>
  <c r="Q104" i="1"/>
  <c r="Q106" i="1" s="1"/>
  <c r="V104" i="1"/>
  <c r="V106" i="1" s="1"/>
  <c r="E104" i="1"/>
  <c r="E106" i="1" s="1"/>
  <c r="D106" i="1" l="1"/>
  <c r="C71" i="1"/>
  <c r="N107" i="1" l="1"/>
  <c r="N101" i="1" s="1"/>
  <c r="M107" i="1"/>
  <c r="U107" i="1"/>
  <c r="U101" i="1" s="1"/>
  <c r="E107" i="1"/>
  <c r="E101" i="1" s="1"/>
  <c r="C73" i="1"/>
  <c r="K107" i="1"/>
  <c r="K101" i="1" s="1"/>
  <c r="H107" i="1"/>
  <c r="H101" i="1" s="1"/>
  <c r="F107" i="1"/>
  <c r="F101" i="1" s="1"/>
  <c r="S107" i="1"/>
  <c r="S101" i="1" s="1"/>
  <c r="T107" i="1"/>
  <c r="T101" i="1" s="1"/>
  <c r="I107" i="1"/>
  <c r="I101" i="1" s="1"/>
  <c r="D107" i="1"/>
  <c r="D101" i="1" s="1"/>
  <c r="J107" i="1"/>
  <c r="J101" i="1" s="1"/>
  <c r="W107" i="1"/>
  <c r="V107" i="1"/>
  <c r="V101" i="1" s="1"/>
  <c r="O107" i="1"/>
  <c r="O101" i="1" s="1"/>
  <c r="G107" i="1"/>
  <c r="G101" i="1" s="1"/>
  <c r="Q107" i="1"/>
  <c r="Q101" i="1" s="1"/>
  <c r="P107" i="1"/>
  <c r="P101" i="1" s="1"/>
  <c r="L107" i="1"/>
  <c r="L101" i="1" s="1"/>
  <c r="R107" i="1"/>
  <c r="R101" i="1" s="1"/>
  <c r="D75" i="1" l="1"/>
  <c r="C75" i="1"/>
  <c r="C76" i="1"/>
  <c r="D76" i="1"/>
  <c r="W101" i="1"/>
  <c r="M101" i="1"/>
  <c r="C74" i="1" s="1"/>
</calcChain>
</file>

<file path=xl/sharedStrings.xml><?xml version="1.0" encoding="utf-8"?>
<sst xmlns="http://schemas.openxmlformats.org/spreadsheetml/2006/main" count="187" uniqueCount="112">
  <si>
    <t>kWh</t>
    <phoneticPr fontId="1"/>
  </si>
  <si>
    <t>all</t>
    <phoneticPr fontId="1"/>
  </si>
  <si>
    <t>日照時</t>
    <rPh sb="0" eb="2">
      <t>ニッショウ</t>
    </rPh>
    <rPh sb="2" eb="3">
      <t>ジ</t>
    </rPh>
    <phoneticPr fontId="1"/>
  </si>
  <si>
    <t>日没時</t>
    <rPh sb="0" eb="2">
      <t>ニチボツ</t>
    </rPh>
    <rPh sb="2" eb="3">
      <t>ジ</t>
    </rPh>
    <phoneticPr fontId="1"/>
  </si>
  <si>
    <t>円/kWh</t>
    <rPh sb="0" eb="1">
      <t>エン</t>
    </rPh>
    <phoneticPr fontId="1"/>
  </si>
  <si>
    <t>基本料金</t>
    <rPh sb="0" eb="2">
      <t>キホン</t>
    </rPh>
    <rPh sb="2" eb="4">
      <t>リョウキン</t>
    </rPh>
    <phoneticPr fontId="1"/>
  </si>
  <si>
    <t>円</t>
    <rPh sb="0" eb="1">
      <t>エン</t>
    </rPh>
    <phoneticPr fontId="1"/>
  </si>
  <si>
    <t>kW</t>
    <phoneticPr fontId="1"/>
  </si>
  <si>
    <t>月間</t>
    <rPh sb="0" eb="2">
      <t>ゲッカン</t>
    </rPh>
    <phoneticPr fontId="1"/>
  </si>
  <si>
    <t>日間</t>
    <rPh sb="0" eb="2">
      <t>ニッカン</t>
    </rPh>
    <phoneticPr fontId="1"/>
  </si>
  <si>
    <t>kWh</t>
    <phoneticPr fontId="1"/>
  </si>
  <si>
    <t>昼間に蓄電池に溜められる電力量</t>
    <rPh sb="0" eb="2">
      <t>ヒルマ</t>
    </rPh>
    <rPh sb="3" eb="6">
      <t>チクデンチ</t>
    </rPh>
    <rPh sb="7" eb="8">
      <t>タ</t>
    </rPh>
    <rPh sb="12" eb="14">
      <t>デンリョク</t>
    </rPh>
    <rPh sb="14" eb="15">
      <t>リョウ</t>
    </rPh>
    <phoneticPr fontId="1"/>
  </si>
  <si>
    <t>昼間に売電する電力量</t>
    <rPh sb="0" eb="2">
      <t>ヒルマ</t>
    </rPh>
    <rPh sb="3" eb="5">
      <t>バイデン</t>
    </rPh>
    <rPh sb="7" eb="9">
      <t>デンリョク</t>
    </rPh>
    <rPh sb="9" eb="10">
      <t>リョウ</t>
    </rPh>
    <phoneticPr fontId="1"/>
  </si>
  <si>
    <t>昼間の余剰電力（発電量－昼間に使う電気量）</t>
    <rPh sb="0" eb="2">
      <t>ヒルマ</t>
    </rPh>
    <rPh sb="3" eb="5">
      <t>ヨジョウ</t>
    </rPh>
    <rPh sb="5" eb="7">
      <t>デンリョク</t>
    </rPh>
    <rPh sb="8" eb="10">
      <t>ハツデン</t>
    </rPh>
    <rPh sb="10" eb="11">
      <t>リョウ</t>
    </rPh>
    <rPh sb="12" eb="14">
      <t>ヒルマ</t>
    </rPh>
    <rPh sb="15" eb="16">
      <t>ツカ</t>
    </rPh>
    <rPh sb="17" eb="19">
      <t>デンキ</t>
    </rPh>
    <rPh sb="19" eb="20">
      <t>リョウ</t>
    </rPh>
    <phoneticPr fontId="1"/>
  </si>
  <si>
    <t>円/kWh</t>
    <rPh sb="0" eb="1">
      <t>エン</t>
    </rPh>
    <phoneticPr fontId="1"/>
  </si>
  <si>
    <t>円</t>
    <rPh sb="0" eb="1">
      <t>エン</t>
    </rPh>
    <phoneticPr fontId="1"/>
  </si>
  <si>
    <t>節約効果</t>
    <rPh sb="0" eb="2">
      <t>セツヤク</t>
    </rPh>
    <rPh sb="2" eb="4">
      <t>コウカ</t>
    </rPh>
    <phoneticPr fontId="1"/>
  </si>
  <si>
    <t>設定値</t>
    <rPh sb="0" eb="3">
      <t>セッテイチ</t>
    </rPh>
    <phoneticPr fontId="1"/>
  </si>
  <si>
    <t>年間</t>
    <rPh sb="0" eb="2">
      <t>ネンカン</t>
    </rPh>
    <phoneticPr fontId="1"/>
  </si>
  <si>
    <t>（単位は万円）</t>
    <rPh sb="1" eb="3">
      <t>タンイ</t>
    </rPh>
    <rPh sb="4" eb="6">
      <t>マンエン</t>
    </rPh>
    <phoneticPr fontId="1"/>
  </si>
  <si>
    <t>電気料金の変動分（月間）</t>
    <rPh sb="0" eb="2">
      <t>デンキ</t>
    </rPh>
    <rPh sb="2" eb="4">
      <t>リョウキン</t>
    </rPh>
    <rPh sb="5" eb="7">
      <t>ヘンドウ</t>
    </rPh>
    <rPh sb="7" eb="8">
      <t>ブン</t>
    </rPh>
    <rPh sb="9" eb="11">
      <t>ゲッカン</t>
    </rPh>
    <phoneticPr fontId="1"/>
  </si>
  <si>
    <t>万円</t>
    <rPh sb="0" eb="2">
      <t>マンエン</t>
    </rPh>
    <phoneticPr fontId="1"/>
  </si>
  <si>
    <t>経過年数</t>
    <rPh sb="0" eb="2">
      <t>ケイカ</t>
    </rPh>
    <rPh sb="2" eb="4">
      <t>ネンスウ</t>
    </rPh>
    <phoneticPr fontId="1"/>
  </si>
  <si>
    <t>①何も設置しない場合の年間電気代</t>
    <rPh sb="1" eb="2">
      <t>ナニ</t>
    </rPh>
    <rPh sb="3" eb="5">
      <t>セッチ</t>
    </rPh>
    <rPh sb="8" eb="10">
      <t>バアイ</t>
    </rPh>
    <rPh sb="11" eb="13">
      <t>ネンカン</t>
    </rPh>
    <rPh sb="13" eb="15">
      <t>デンキ</t>
    </rPh>
    <rPh sb="15" eb="16">
      <t>ダイ</t>
    </rPh>
    <phoneticPr fontId="1"/>
  </si>
  <si>
    <t>②太陽光や蓄電池を設置した場合の年間電気代</t>
    <rPh sb="1" eb="4">
      <t>タイヨウコウ</t>
    </rPh>
    <rPh sb="5" eb="8">
      <t>チクデンチ</t>
    </rPh>
    <rPh sb="9" eb="11">
      <t>セッチ</t>
    </rPh>
    <rPh sb="13" eb="15">
      <t>バアイ</t>
    </rPh>
    <rPh sb="16" eb="18">
      <t>ネンカン</t>
    </rPh>
    <rPh sb="18" eb="21">
      <t>デンキダイ</t>
    </rPh>
    <phoneticPr fontId="1"/>
  </si>
  <si>
    <t>③年間売電金額</t>
    <rPh sb="1" eb="3">
      <t>ネンカン</t>
    </rPh>
    <rPh sb="3" eb="5">
      <t>バイデン</t>
    </rPh>
    <rPh sb="5" eb="7">
      <t>キンガク</t>
    </rPh>
    <phoneticPr fontId="1"/>
  </si>
  <si>
    <t>④年間節約金額（①－②＋③）</t>
    <rPh sb="1" eb="3">
      <t>ネンカン</t>
    </rPh>
    <rPh sb="3" eb="5">
      <t>セツヤク</t>
    </rPh>
    <rPh sb="5" eb="7">
      <t>キンガク</t>
    </rPh>
    <phoneticPr fontId="1"/>
  </si>
  <si>
    <t>1~10年目</t>
    <rPh sb="4" eb="6">
      <t>ネンメ</t>
    </rPh>
    <phoneticPr fontId="1"/>
  </si>
  <si>
    <t>11年目以降</t>
    <rPh sb="2" eb="4">
      <t>ネンメ</t>
    </rPh>
    <rPh sb="4" eb="6">
      <t>イコウ</t>
    </rPh>
    <phoneticPr fontId="1"/>
  </si>
  <si>
    <t>⑤減価償却（設置費用－④×年数）</t>
    <rPh sb="1" eb="3">
      <t>ゲンカ</t>
    </rPh>
    <rPh sb="3" eb="5">
      <t>ショウキャク</t>
    </rPh>
    <rPh sb="6" eb="8">
      <t>セッチ</t>
    </rPh>
    <rPh sb="8" eb="10">
      <t>ヒヨウ</t>
    </rPh>
    <rPh sb="13" eb="15">
      <t>ネンスウ</t>
    </rPh>
    <phoneticPr fontId="1"/>
  </si>
  <si>
    <t>倍</t>
    <rPh sb="0" eb="1">
      <t>バイ</t>
    </rPh>
    <phoneticPr fontId="1"/>
  </si>
  <si>
    <t>電気使用量に掛ける係数</t>
    <rPh sb="0" eb="2">
      <t>デンキ</t>
    </rPh>
    <rPh sb="2" eb="5">
      <t>シヨウリョウ</t>
    </rPh>
    <rPh sb="6" eb="7">
      <t>カ</t>
    </rPh>
    <rPh sb="9" eb="11">
      <t>ケイスウ</t>
    </rPh>
    <phoneticPr fontId="1"/>
  </si>
  <si>
    <t>半固定値</t>
    <rPh sb="0" eb="1">
      <t>ハン</t>
    </rPh>
    <rPh sb="1" eb="3">
      <t>コテイ</t>
    </rPh>
    <rPh sb="3" eb="4">
      <t>アタイ</t>
    </rPh>
    <phoneticPr fontId="1"/>
  </si>
  <si>
    <t>~</t>
    <phoneticPr fontId="1"/>
  </si>
  <si>
    <t>kWh</t>
    <phoneticPr fontId="1"/>
  </si>
  <si>
    <t>単位</t>
    <rPh sb="0" eb="2">
      <t>タンイ</t>
    </rPh>
    <phoneticPr fontId="1"/>
  </si>
  <si>
    <t>項目</t>
    <rPh sb="0" eb="2">
      <t>コウモク</t>
    </rPh>
    <phoneticPr fontId="1"/>
  </si>
  <si>
    <t>水準</t>
    <rPh sb="0" eb="2">
      <t>スイジュン</t>
    </rPh>
    <phoneticPr fontId="1"/>
  </si>
  <si>
    <t>備考</t>
    <rPh sb="0" eb="2">
      <t>ビコウ</t>
    </rPh>
    <phoneticPr fontId="1"/>
  </si>
  <si>
    <t>-</t>
    <phoneticPr fontId="1"/>
  </si>
  <si>
    <t>通常は1倍にしておく。電力が増減場合のシミュレーションを簡易的に実施したい場合に、1以外の係数を入力する。</t>
    <rPh sb="0" eb="2">
      <t>ツウジョウ</t>
    </rPh>
    <rPh sb="4" eb="5">
      <t>バイ</t>
    </rPh>
    <rPh sb="11" eb="13">
      <t>デンリョク</t>
    </rPh>
    <rPh sb="14" eb="16">
      <t>ゾウゲン</t>
    </rPh>
    <rPh sb="16" eb="18">
      <t>バアイ</t>
    </rPh>
    <rPh sb="28" eb="30">
      <t>カンイ</t>
    </rPh>
    <rPh sb="30" eb="31">
      <t>テキ</t>
    </rPh>
    <rPh sb="32" eb="34">
      <t>ジッシ</t>
    </rPh>
    <rPh sb="37" eb="39">
      <t>バアイ</t>
    </rPh>
    <rPh sb="42" eb="44">
      <t>イガイ</t>
    </rPh>
    <rPh sb="45" eb="47">
      <t>ケイスウ</t>
    </rPh>
    <rPh sb="48" eb="50">
      <t>ニュウリョク</t>
    </rPh>
    <phoneticPr fontId="1"/>
  </si>
  <si>
    <t>kW</t>
    <phoneticPr fontId="1"/>
  </si>
  <si>
    <t>蓄電池使用時の電気買取量</t>
    <rPh sb="0" eb="3">
      <t>チクデンチ</t>
    </rPh>
    <rPh sb="3" eb="5">
      <t>シヨウ</t>
    </rPh>
    <rPh sb="5" eb="6">
      <t>ジ</t>
    </rPh>
    <rPh sb="7" eb="9">
      <t>デンキ</t>
    </rPh>
    <rPh sb="9" eb="11">
      <t>カイトリ</t>
    </rPh>
    <rPh sb="11" eb="12">
      <t>リョウ</t>
    </rPh>
    <phoneticPr fontId="1"/>
  </si>
  <si>
    <t>工事代金の実質負担金額</t>
    <rPh sb="0" eb="2">
      <t>コウジ</t>
    </rPh>
    <rPh sb="2" eb="4">
      <t>ダイキン</t>
    </rPh>
    <rPh sb="5" eb="7">
      <t>ジッシツ</t>
    </rPh>
    <rPh sb="7" eb="9">
      <t>フタン</t>
    </rPh>
    <rPh sb="9" eb="11">
      <t>キンガク</t>
    </rPh>
    <phoneticPr fontId="1"/>
  </si>
  <si>
    <t>蓄電池使用時に、系統への逆流を防ぐために電気を購入する必要がある。通常は0.1-0.2程度となる。</t>
    <rPh sb="0" eb="3">
      <t>チクデンチ</t>
    </rPh>
    <rPh sb="3" eb="5">
      <t>シヨウ</t>
    </rPh>
    <rPh sb="5" eb="6">
      <t>ジ</t>
    </rPh>
    <rPh sb="8" eb="10">
      <t>ケイトウ</t>
    </rPh>
    <rPh sb="12" eb="14">
      <t>ギャクリュウ</t>
    </rPh>
    <rPh sb="15" eb="16">
      <t>フセ</t>
    </rPh>
    <rPh sb="20" eb="22">
      <t>デンキ</t>
    </rPh>
    <rPh sb="23" eb="25">
      <t>コウニュウ</t>
    </rPh>
    <rPh sb="27" eb="29">
      <t>ヒツヨウ</t>
    </rPh>
    <rPh sb="33" eb="35">
      <t>ツウジョウ</t>
    </rPh>
    <rPh sb="43" eb="45">
      <t>テイド</t>
    </rPh>
    <phoneticPr fontId="1"/>
  </si>
  <si>
    <t>各種補助金を引いた後の工事代金の実質負担金額を入力する。</t>
    <rPh sb="0" eb="2">
      <t>カクシュ</t>
    </rPh>
    <rPh sb="2" eb="5">
      <t>ホジョキン</t>
    </rPh>
    <rPh sb="6" eb="7">
      <t>ヒ</t>
    </rPh>
    <rPh sb="9" eb="10">
      <t>アト</t>
    </rPh>
    <rPh sb="11" eb="13">
      <t>コウジ</t>
    </rPh>
    <rPh sb="13" eb="15">
      <t>ダイキン</t>
    </rPh>
    <rPh sb="16" eb="18">
      <t>ジッシツ</t>
    </rPh>
    <rPh sb="18" eb="20">
      <t>フタン</t>
    </rPh>
    <rPh sb="20" eb="22">
      <t>キンガク</t>
    </rPh>
    <rPh sb="23" eb="25">
      <t>ニュウリョク</t>
    </rPh>
    <phoneticPr fontId="1"/>
  </si>
  <si>
    <t>電気料金</t>
    <rPh sb="0" eb="2">
      <t>デンキ</t>
    </rPh>
    <rPh sb="2" eb="4">
      <t>リョウキン</t>
    </rPh>
    <phoneticPr fontId="1"/>
  </si>
  <si>
    <t>ソーラーパネル・蓄電池導入前</t>
    <rPh sb="8" eb="11">
      <t>チクデンチ</t>
    </rPh>
    <rPh sb="11" eb="13">
      <t>ドウニュウ</t>
    </rPh>
    <rPh sb="13" eb="14">
      <t>マエ</t>
    </rPh>
    <phoneticPr fontId="1"/>
  </si>
  <si>
    <t>蓄電池の蓄電容量を入力する。実行値を入力することで、より正確な計算が可能になる。蓄電池を導入しない場合には0を入力する。</t>
    <rPh sb="0" eb="3">
      <t>チクデンチ</t>
    </rPh>
    <rPh sb="4" eb="6">
      <t>チクデン</t>
    </rPh>
    <rPh sb="6" eb="8">
      <t>ヨウリョウ</t>
    </rPh>
    <rPh sb="9" eb="11">
      <t>ニュウリョク</t>
    </rPh>
    <rPh sb="14" eb="16">
      <t>ジッコウ</t>
    </rPh>
    <rPh sb="16" eb="17">
      <t>アタイ</t>
    </rPh>
    <rPh sb="18" eb="20">
      <t>ニュウリョク</t>
    </rPh>
    <rPh sb="28" eb="30">
      <t>セイカク</t>
    </rPh>
    <rPh sb="31" eb="33">
      <t>ケイサン</t>
    </rPh>
    <rPh sb="34" eb="36">
      <t>カノウ</t>
    </rPh>
    <rPh sb="40" eb="43">
      <t>チクデンチ</t>
    </rPh>
    <rPh sb="44" eb="46">
      <t>ドウニュウ</t>
    </rPh>
    <rPh sb="49" eb="51">
      <t>バアイ</t>
    </rPh>
    <rPh sb="55" eb="57">
      <t>ニュウリョク</t>
    </rPh>
    <phoneticPr fontId="1"/>
  </si>
  <si>
    <t>導入前後の比較</t>
    <rPh sb="0" eb="2">
      <t>ドウニュウ</t>
    </rPh>
    <rPh sb="2" eb="4">
      <t>ゼンゴ</t>
    </rPh>
    <rPh sb="5" eb="7">
      <t>ヒカク</t>
    </rPh>
    <phoneticPr fontId="1"/>
  </si>
  <si>
    <t>平均時間（日間）</t>
    <rPh sb="0" eb="2">
      <t>ヘイキン</t>
    </rPh>
    <rPh sb="2" eb="4">
      <t>ジカン</t>
    </rPh>
    <rPh sb="5" eb="7">
      <t>ニチカン</t>
    </rPh>
    <phoneticPr fontId="1"/>
  </si>
  <si>
    <t>h</t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</si>
  <si>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</si>
  <si>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</si>
  <si>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日の出</t>
    <rPh sb="0" eb="1">
      <t>ヒ</t>
    </rPh>
    <rPh sb="2" eb="3">
      <t>デ</t>
    </rPh>
    <phoneticPr fontId="1"/>
  </si>
  <si>
    <t>日の入</t>
    <rPh sb="0" eb="1">
      <t>ヒ</t>
    </rPh>
    <rPh sb="2" eb="3">
      <t>イ</t>
    </rPh>
    <phoneticPr fontId="1"/>
  </si>
  <si>
    <t>時刻</t>
    <rPh sb="0" eb="2">
      <t>ジコク</t>
    </rPh>
    <phoneticPr fontId="1"/>
  </si>
  <si>
    <t>重要な計算値</t>
    <rPh sb="0" eb="2">
      <t>ジュウヨウ</t>
    </rPh>
    <rPh sb="3" eb="6">
      <t>ケイサンチ</t>
    </rPh>
    <phoneticPr fontId="1"/>
  </si>
  <si>
    <t>日間</t>
    <rPh sb="0" eb="2">
      <t>ニチカン</t>
    </rPh>
    <phoneticPr fontId="1"/>
  </si>
  <si>
    <t>売電</t>
    <rPh sb="0" eb="2">
      <t>バイデン</t>
    </rPh>
    <phoneticPr fontId="1"/>
  </si>
  <si>
    <t>明け方の蓄電容量</t>
    <rPh sb="0" eb="1">
      <t>ア</t>
    </rPh>
    <rPh sb="2" eb="3">
      <t>ガタ</t>
    </rPh>
    <rPh sb="4" eb="6">
      <t>チクデン</t>
    </rPh>
    <rPh sb="6" eb="8">
      <t>ヨウリョウ</t>
    </rPh>
    <phoneticPr fontId="1"/>
  </si>
  <si>
    <t>夜間に使う電力量</t>
    <rPh sb="0" eb="2">
      <t>ヤカン</t>
    </rPh>
    <rPh sb="3" eb="4">
      <t>ツカ</t>
    </rPh>
    <rPh sb="5" eb="7">
      <t>デンリョク</t>
    </rPh>
    <rPh sb="7" eb="8">
      <t>リョウ</t>
    </rPh>
    <phoneticPr fontId="1"/>
  </si>
  <si>
    <t>上記のうち、蓄電池で賄える量</t>
    <rPh sb="0" eb="2">
      <t>ジョウキ</t>
    </rPh>
    <rPh sb="6" eb="9">
      <t>チクデンチ</t>
    </rPh>
    <rPh sb="10" eb="11">
      <t>マカナ</t>
    </rPh>
    <rPh sb="13" eb="14">
      <t>リョウ</t>
    </rPh>
    <phoneticPr fontId="1"/>
  </si>
  <si>
    <t>逆流防止のために買う電力量</t>
    <rPh sb="0" eb="2">
      <t>ギャクリュウ</t>
    </rPh>
    <rPh sb="2" eb="4">
      <t>ボウシ</t>
    </rPh>
    <rPh sb="8" eb="9">
      <t>カ</t>
    </rPh>
    <rPh sb="10" eb="12">
      <t>デンリョク</t>
    </rPh>
    <rPh sb="12" eb="13">
      <t>リョウ</t>
    </rPh>
    <phoneticPr fontId="1"/>
  </si>
  <si>
    <t>日間</t>
    <rPh sb="0" eb="2">
      <t>ニッカン</t>
    </rPh>
    <phoneticPr fontId="1"/>
  </si>
  <si>
    <t>夜間に買うtotal電力量</t>
    <rPh sb="0" eb="2">
      <t>ヤカン</t>
    </rPh>
    <rPh sb="3" eb="4">
      <t>カ</t>
    </rPh>
    <rPh sb="10" eb="12">
      <t>デンリョク</t>
    </rPh>
    <rPh sb="12" eb="13">
      <t>リョウ</t>
    </rPh>
    <phoneticPr fontId="1"/>
  </si>
  <si>
    <t>購入電気量</t>
    <rPh sb="0" eb="2">
      <t>コウニュウ</t>
    </rPh>
    <rPh sb="2" eb="4">
      <t>デンキ</t>
    </rPh>
    <rPh sb="4" eb="5">
      <t>リョウ</t>
    </rPh>
    <phoneticPr fontId="1"/>
  </si>
  <si>
    <t>月間</t>
    <rPh sb="0" eb="2">
      <t>ゲッカン</t>
    </rPh>
    <phoneticPr fontId="1"/>
  </si>
  <si>
    <t>合計</t>
    <rPh sb="0" eb="2">
      <t>ゴウケイ</t>
    </rPh>
    <phoneticPr fontId="1"/>
  </si>
  <si>
    <t>共通</t>
    <rPh sb="0" eb="2">
      <t>キョウツウ</t>
    </rPh>
    <phoneticPr fontId="1"/>
  </si>
  <si>
    <t>契約している電気料金プランに応じて、D列とH列の黄色いセルの値を変更する。変動料金設定でない場合には、D列にはすべて同じ値を入力し、F列の数字は初期値のままでよい。</t>
    <rPh sb="0" eb="2">
      <t>ケイヤク</t>
    </rPh>
    <rPh sb="6" eb="8">
      <t>デンキ</t>
    </rPh>
    <rPh sb="8" eb="10">
      <t>リョウキン</t>
    </rPh>
    <rPh sb="14" eb="15">
      <t>オウ</t>
    </rPh>
    <rPh sb="19" eb="20">
      <t>レツ</t>
    </rPh>
    <rPh sb="22" eb="23">
      <t>レツ</t>
    </rPh>
    <rPh sb="24" eb="26">
      <t>キイロ</t>
    </rPh>
    <rPh sb="30" eb="31">
      <t>アタイ</t>
    </rPh>
    <rPh sb="32" eb="34">
      <t>ヘンコウ</t>
    </rPh>
    <rPh sb="37" eb="39">
      <t>ヘンドウ</t>
    </rPh>
    <rPh sb="39" eb="41">
      <t>リョウキン</t>
    </rPh>
    <rPh sb="41" eb="43">
      <t>セッテイ</t>
    </rPh>
    <rPh sb="46" eb="48">
      <t>バアイ</t>
    </rPh>
    <rPh sb="52" eb="53">
      <t>レツ</t>
    </rPh>
    <rPh sb="58" eb="59">
      <t>オナ</t>
    </rPh>
    <rPh sb="60" eb="61">
      <t>アタイ</t>
    </rPh>
    <rPh sb="62" eb="64">
      <t>ニュウリョク</t>
    </rPh>
    <rPh sb="67" eb="68">
      <t>レツ</t>
    </rPh>
    <rPh sb="69" eb="71">
      <t>スウジ</t>
    </rPh>
    <rPh sb="72" eb="75">
      <t>ショキチ</t>
    </rPh>
    <phoneticPr fontId="1"/>
  </si>
  <si>
    <t>現在契約している電気料金の基本料金を入力する。</t>
    <rPh sb="0" eb="2">
      <t>ゲンザイ</t>
    </rPh>
    <rPh sb="2" eb="4">
      <t>ケイヤク</t>
    </rPh>
    <rPh sb="8" eb="10">
      <t>デンキ</t>
    </rPh>
    <rPh sb="10" eb="12">
      <t>リョウキン</t>
    </rPh>
    <rPh sb="13" eb="15">
      <t>キホン</t>
    </rPh>
    <rPh sb="15" eb="17">
      <t>リョウキン</t>
    </rPh>
    <rPh sb="18" eb="20">
      <t>ニュウリョク</t>
    </rPh>
    <phoneticPr fontId="1"/>
  </si>
  <si>
    <t>ソーラーパネル・蓄電池の経済効果シミュレーション</t>
    <rPh sb="8" eb="11">
      <t>チクデンチ</t>
    </rPh>
    <rPh sb="12" eb="14">
      <t>ケイザイ</t>
    </rPh>
    <rPh sb="14" eb="16">
      <t>コウカ</t>
    </rPh>
    <phoneticPr fontId="1"/>
  </si>
  <si>
    <t>●課題</t>
    <rPh sb="1" eb="3">
      <t>カダイ</t>
    </rPh>
    <phoneticPr fontId="1"/>
  </si>
  <si>
    <t>・曇りの日が連続することを考慮していない。実際には経済効果はさらに劣る</t>
    <rPh sb="1" eb="2">
      <t>クモ</t>
    </rPh>
    <rPh sb="4" eb="5">
      <t>ヒ</t>
    </rPh>
    <rPh sb="6" eb="8">
      <t>レンゾク</t>
    </rPh>
    <rPh sb="13" eb="15">
      <t>コウリョ</t>
    </rPh>
    <rPh sb="21" eb="23">
      <t>ジッサイ</t>
    </rPh>
    <rPh sb="25" eb="27">
      <t>ケイザイ</t>
    </rPh>
    <rPh sb="27" eb="29">
      <t>コウカ</t>
    </rPh>
    <rPh sb="33" eb="34">
      <t>オト</t>
    </rPh>
    <phoneticPr fontId="1"/>
  </si>
  <si>
    <t>・ソーラーパネル・蓄電池導入前後において、異なる電気料金で契約する場合の計算をできない。</t>
    <rPh sb="9" eb="12">
      <t>チクデンチ</t>
    </rPh>
    <rPh sb="12" eb="14">
      <t>ドウニュウ</t>
    </rPh>
    <rPh sb="14" eb="16">
      <t>ゼンゴ</t>
    </rPh>
    <rPh sb="21" eb="22">
      <t>コト</t>
    </rPh>
    <rPh sb="24" eb="26">
      <t>デンキ</t>
    </rPh>
    <rPh sb="26" eb="28">
      <t>リョウキン</t>
    </rPh>
    <rPh sb="29" eb="31">
      <t>ケイヤク</t>
    </rPh>
    <rPh sb="33" eb="35">
      <t>バアイ</t>
    </rPh>
    <rPh sb="36" eb="38">
      <t>ケイサン</t>
    </rPh>
    <phoneticPr fontId="1"/>
  </si>
  <si>
    <t>以上</t>
    <rPh sb="0" eb="2">
      <t>イジョウ</t>
    </rPh>
    <phoneticPr fontId="1"/>
  </si>
  <si>
    <t>セルの色の見方</t>
    <rPh sb="3" eb="4">
      <t>イロ</t>
    </rPh>
    <rPh sb="5" eb="7">
      <t>ミカタ</t>
    </rPh>
    <phoneticPr fontId="1"/>
  </si>
  <si>
    <t>工事代金を回収するのは</t>
    <rPh sb="0" eb="2">
      <t>コウジ</t>
    </rPh>
    <rPh sb="2" eb="4">
      <t>ダイキン</t>
    </rPh>
    <rPh sb="5" eb="7">
      <t>カイシュウ</t>
    </rPh>
    <phoneticPr fontId="1"/>
  </si>
  <si>
    <t>・機器の修理代金やメンテナンス費用については考慮していない。特に10年後にはパワコンの交換費用として20万円がかかることが多い。</t>
    <rPh sb="1" eb="3">
      <t>キキ</t>
    </rPh>
    <rPh sb="4" eb="6">
      <t>シュウリ</t>
    </rPh>
    <rPh sb="6" eb="8">
      <t>ダイキン</t>
    </rPh>
    <rPh sb="15" eb="17">
      <t>ヒヨウ</t>
    </rPh>
    <rPh sb="22" eb="24">
      <t>コウリョ</t>
    </rPh>
    <rPh sb="30" eb="31">
      <t>トク</t>
    </rPh>
    <rPh sb="34" eb="36">
      <t>ネンゴ</t>
    </rPh>
    <rPh sb="43" eb="45">
      <t>コウカン</t>
    </rPh>
    <rPh sb="45" eb="47">
      <t>ヒヨウ</t>
    </rPh>
    <rPh sb="52" eb="54">
      <t>マンエン</t>
    </rPh>
    <rPh sb="61" eb="62">
      <t>オオ</t>
    </rPh>
    <phoneticPr fontId="1"/>
  </si>
  <si>
    <t>年間で</t>
    <rPh sb="0" eb="2">
      <t>ネンカン</t>
    </rPh>
    <phoneticPr fontId="1"/>
  </si>
  <si>
    <t>FIT売電金額</t>
    <rPh sb="3" eb="5">
      <t>バイデン</t>
    </rPh>
    <rPh sb="5" eb="7">
      <t>キンガク</t>
    </rPh>
    <phoneticPr fontId="1"/>
  </si>
  <si>
    <t>20年後には、トータルで</t>
    <rPh sb="2" eb="4">
      <t>ネンゴ</t>
    </rPh>
    <phoneticPr fontId="1"/>
  </si>
  <si>
    <t>10年後には、トータルで</t>
    <rPh sb="2" eb="4">
      <t>ネンゴ</t>
    </rPh>
    <phoneticPr fontId="1"/>
  </si>
  <si>
    <t>あなたは、ソーラーパネルと蓄電池の導入によって</t>
    <rPh sb="13" eb="16">
      <t>チクデンチ</t>
    </rPh>
    <rPh sb="17" eb="19">
      <t>ドウニュウ</t>
    </rPh>
    <phoneticPr fontId="1"/>
  </si>
  <si>
    <t>万円の売電収入があります。（1~10年目）</t>
    <rPh sb="0" eb="2">
      <t>マンエン</t>
    </rPh>
    <rPh sb="3" eb="5">
      <t>バイデン</t>
    </rPh>
    <rPh sb="5" eb="7">
      <t>シュウニュウ</t>
    </rPh>
    <rPh sb="18" eb="20">
      <t>ネンメ</t>
    </rPh>
    <phoneticPr fontId="1"/>
  </si>
  <si>
    <t>よって、年間で</t>
    <rPh sb="4" eb="6">
      <t>ネンカン</t>
    </rPh>
    <phoneticPr fontId="1"/>
  </si>
  <si>
    <t>万円の電気節約効果があります（1~10年目）</t>
    <rPh sb="0" eb="2">
      <t>マンエン</t>
    </rPh>
    <rPh sb="3" eb="5">
      <t>デンキ</t>
    </rPh>
    <rPh sb="5" eb="7">
      <t>セツヤク</t>
    </rPh>
    <rPh sb="7" eb="9">
      <t>コウカ</t>
    </rPh>
    <rPh sb="19" eb="21">
      <t>ネンメ</t>
    </rPh>
    <phoneticPr fontId="1"/>
  </si>
  <si>
    <t>年後です</t>
    <rPh sb="0" eb="1">
      <t>ネン</t>
    </rPh>
    <rPh sb="1" eb="2">
      <t>ゴ</t>
    </rPh>
    <phoneticPr fontId="1"/>
  </si>
  <si>
    <t>万円分の電気を購入せずに済みます</t>
    <rPh sb="0" eb="2">
      <t>マンエン</t>
    </rPh>
    <rPh sb="2" eb="3">
      <t>ブン</t>
    </rPh>
    <rPh sb="4" eb="6">
      <t>デンキ</t>
    </rPh>
    <rPh sb="7" eb="9">
      <t>コウニュウ</t>
    </rPh>
    <rPh sb="12" eb="13">
      <t>ス</t>
    </rPh>
    <phoneticPr fontId="1"/>
  </si>
  <si>
    <t>●出展</t>
    <rPh sb="1" eb="3">
      <t>シュッテン</t>
    </rPh>
    <phoneticPr fontId="1"/>
  </si>
  <si>
    <t>ブログ名</t>
    <rPh sb="3" eb="4">
      <t>メイ</t>
    </rPh>
    <phoneticPr fontId="1"/>
  </si>
  <si>
    <t>家のコト</t>
    <rPh sb="0" eb="1">
      <t>イエ</t>
    </rPh>
    <phoneticPr fontId="1"/>
  </si>
  <si>
    <t>url</t>
    <phoneticPr fontId="1"/>
  </si>
  <si>
    <t>https://home-construction.jp/</t>
    <phoneticPr fontId="1"/>
  </si>
  <si>
    <t>ソーラーパネルの発電能力</t>
    <rPh sb="8" eb="10">
      <t>ハツデン</t>
    </rPh>
    <rPh sb="10" eb="12">
      <t>ノウリョク</t>
    </rPh>
    <phoneticPr fontId="1"/>
  </si>
  <si>
    <t>蓄電池の容量（実行値）</t>
    <rPh sb="0" eb="3">
      <t>チクデンチ</t>
    </rPh>
    <rPh sb="4" eb="6">
      <t>ヨウリョウ</t>
    </rPh>
    <rPh sb="7" eb="9">
      <t>ジッコウ</t>
    </rPh>
    <rPh sb="9" eb="10">
      <t>アタイ</t>
    </rPh>
    <phoneticPr fontId="1"/>
  </si>
  <si>
    <t>●前提条件１（変動値）</t>
    <rPh sb="1" eb="3">
      <t>ゼンテイ</t>
    </rPh>
    <rPh sb="3" eb="5">
      <t>ジョウケン</t>
    </rPh>
    <rPh sb="7" eb="9">
      <t>ヘンドウ</t>
    </rPh>
    <rPh sb="9" eb="10">
      <t>アタイ</t>
    </rPh>
    <phoneticPr fontId="1"/>
  </si>
  <si>
    <t>●前提条件2（半固定値）</t>
    <rPh sb="1" eb="3">
      <t>ゼンテイ</t>
    </rPh>
    <rPh sb="3" eb="5">
      <t>ジョウケン</t>
    </rPh>
    <rPh sb="7" eb="8">
      <t>ハン</t>
    </rPh>
    <rPh sb="8" eb="10">
      <t>コテイ</t>
    </rPh>
    <rPh sb="10" eb="11">
      <t>アタイ</t>
    </rPh>
    <phoneticPr fontId="1"/>
  </si>
  <si>
    <t>●前提条件３＆途中計算結果</t>
    <rPh sb="1" eb="3">
      <t>ゼンテイ</t>
    </rPh>
    <rPh sb="3" eb="5">
      <t>ジョウケン</t>
    </rPh>
    <rPh sb="7" eb="9">
      <t>トチュウ</t>
    </rPh>
    <rPh sb="9" eb="11">
      <t>ケイサン</t>
    </rPh>
    <rPh sb="11" eb="13">
      <t>ケッカ</t>
    </rPh>
    <phoneticPr fontId="1"/>
  </si>
  <si>
    <t>●最終計算結果</t>
    <rPh sb="1" eb="3">
      <t>サイシュウ</t>
    </rPh>
    <rPh sb="3" eb="5">
      <t>ケイサン</t>
    </rPh>
    <rPh sb="5" eb="7">
      <t>ケッカ</t>
    </rPh>
    <phoneticPr fontId="1"/>
  </si>
  <si>
    <t>単価</t>
    <rPh sb="0" eb="2">
      <t>タンカ</t>
    </rPh>
    <phoneticPr fontId="1"/>
  </si>
  <si>
    <t>メモ代わりとして入力しておく。実際には33行目の月間発電予想量によって反映される。</t>
    <rPh sb="2" eb="3">
      <t>ガ</t>
    </rPh>
    <rPh sb="8" eb="10">
      <t>ニュウリョク</t>
    </rPh>
    <rPh sb="15" eb="17">
      <t>ジッサイ</t>
    </rPh>
    <rPh sb="21" eb="23">
      <t>ギョウメ</t>
    </rPh>
    <rPh sb="24" eb="26">
      <t>ゲッカン</t>
    </rPh>
    <rPh sb="26" eb="28">
      <t>ハツデン</t>
    </rPh>
    <rPh sb="28" eb="30">
      <t>ヨソウ</t>
    </rPh>
    <rPh sb="30" eb="31">
      <t>リョウ</t>
    </rPh>
    <rPh sb="35" eb="37">
      <t>ハンエイ</t>
    </rPh>
    <phoneticPr fontId="1"/>
  </si>
  <si>
    <t>ソーラーパネル・蓄電池導入後</t>
    <rPh sb="8" eb="11">
      <t>チクデンチ</t>
    </rPh>
    <rPh sb="11" eb="13">
      <t>ドウニュウ</t>
    </rPh>
    <rPh sb="13" eb="14">
      <t>ゴ</t>
    </rPh>
    <phoneticPr fontId="1"/>
  </si>
  <si>
    <t>ソーラーパネル予想発電量</t>
    <rPh sb="7" eb="9">
      <t>ヨソウ</t>
    </rPh>
    <rPh sb="9" eb="11">
      <t>ハツデン</t>
    </rPh>
    <rPh sb="11" eb="12">
      <t>リョウ</t>
    </rPh>
    <phoneticPr fontId="1"/>
  </si>
  <si>
    <t>電気使用量の内訳（月間）</t>
    <rPh sb="0" eb="2">
      <t>デンキ</t>
    </rPh>
    <rPh sb="2" eb="4">
      <t>シヨウ</t>
    </rPh>
    <rPh sb="4" eb="5">
      <t>リョウ</t>
    </rPh>
    <rPh sb="6" eb="8">
      <t>ウチワケ</t>
    </rPh>
    <rPh sb="9" eb="11">
      <t>ゲッカン</t>
    </rPh>
    <phoneticPr fontId="1"/>
  </si>
  <si>
    <t>電気使用量（月間）</t>
    <rPh sb="0" eb="2">
      <t>デンキ</t>
    </rPh>
    <rPh sb="2" eb="4">
      <t>シヨウ</t>
    </rPh>
    <rPh sb="4" eb="5">
      <t>リョウ</t>
    </rPh>
    <rPh sb="6" eb="8">
      <t>ゲッカン</t>
    </rPh>
    <phoneticPr fontId="1"/>
  </si>
  <si>
    <t>電気使用量（月間）（係数掛）</t>
    <rPh sb="2" eb="4">
      <t>シヨウ</t>
    </rPh>
    <rPh sb="4" eb="5">
      <t>リョウ</t>
    </rPh>
    <rPh sb="6" eb="8">
      <t>ゲッカン</t>
    </rPh>
    <rPh sb="10" eb="12">
      <t>ケイスウ</t>
    </rPh>
    <rPh sb="12" eb="13">
      <t>カ</t>
    </rPh>
    <phoneticPr fontId="1"/>
  </si>
  <si>
    <t>電気使用量（日間）</t>
    <rPh sb="2" eb="4">
      <t>シヨウ</t>
    </rPh>
    <rPh sb="4" eb="5">
      <t>リョウ</t>
    </rPh>
    <rPh sb="6" eb="8">
      <t>ニチカン</t>
    </rPh>
    <phoneticPr fontId="1"/>
  </si>
  <si>
    <t>・ソーラーパネルや蓄電池の経時変化については考慮していない</t>
    <rPh sb="9" eb="12">
      <t>チクデンチ</t>
    </rPh>
    <rPh sb="13" eb="17">
      <t>ケイジヘンカ</t>
    </rPh>
    <rPh sb="22" eb="24">
      <t>コウリョ</t>
    </rPh>
    <phoneticPr fontId="1"/>
  </si>
  <si>
    <t>昼と夜の電気使用割合</t>
    <rPh sb="0" eb="1">
      <t>ヒル</t>
    </rPh>
    <rPh sb="2" eb="3">
      <t>ヨル</t>
    </rPh>
    <rPh sb="4" eb="6">
      <t>デンキ</t>
    </rPh>
    <rPh sb="6" eb="8">
      <t>シヨウ</t>
    </rPh>
    <rPh sb="8" eb="10">
      <t>ワリアイ</t>
    </rPh>
    <phoneticPr fontId="1"/>
  </si>
  <si>
    <t>昼と夜の電気使用割合を入力する。通常は3:7~4:6の範囲。合計10となるようにする。</t>
    <rPh sb="0" eb="1">
      <t>ヒル</t>
    </rPh>
    <rPh sb="2" eb="3">
      <t>ヨル</t>
    </rPh>
    <rPh sb="4" eb="6">
      <t>デンキ</t>
    </rPh>
    <rPh sb="6" eb="8">
      <t>シヨウ</t>
    </rPh>
    <rPh sb="8" eb="10">
      <t>ワリアイ</t>
    </rPh>
    <rPh sb="11" eb="13">
      <t>ニュウリョク</t>
    </rPh>
    <rPh sb="16" eb="18">
      <t>ツウジョウ</t>
    </rPh>
    <rPh sb="27" eb="29">
      <t>ハンイ</t>
    </rPh>
    <rPh sb="30" eb="3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</si>
</sst>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"/>
    <numFmt numFmtId="177" formatCode="0_);[Red]\(0\)"/>
    <numFmt numFmtId="178" formatCode="0.0_);[Red]\(0.0\)"/>
    <numFmt numFmtId="179" formatCode="0.0_ "/>
    <numFmt numFmtId="180" formatCode="h:mm;@"/>
    <numFmt numFmtId="181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 tint="-4.9989318521683403E-2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right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5" borderId="0" xfId="0" applyFill="1">
      <alignment vertical="center"/>
    </xf>
    <xf numFmtId="0" fontId="0" fillId="0" borderId="14" xfId="0" applyBorder="1">
      <alignment vertical="center"/>
    </xf>
    <xf numFmtId="180" fontId="0" fillId="5" borderId="1" xfId="0" applyNumberFormat="1" applyFill="1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178" fontId="4" fillId="3" borderId="2" xfId="0" applyNumberFormat="1" applyFont="1" applyFill="1" applyBorder="1">
      <alignment vertical="center"/>
    </xf>
    <xf numFmtId="177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179" fontId="3" fillId="0" borderId="1" xfId="0" applyNumberFormat="1" applyFont="1" applyBorder="1">
      <alignment vertical="center"/>
    </xf>
    <xf numFmtId="177" fontId="0" fillId="3" borderId="1" xfId="0" applyNumberFormat="1" applyFill="1" applyBorder="1">
      <alignment vertical="center"/>
    </xf>
    <xf numFmtId="0" fontId="6" fillId="0" borderId="1" xfId="0" applyFont="1" applyBorder="1">
      <alignment vertical="center"/>
    </xf>
    <xf numFmtId="178" fontId="6" fillId="0" borderId="1" xfId="0" applyNumberFormat="1" applyFont="1" applyBorder="1">
      <alignment vertical="center"/>
    </xf>
    <xf numFmtId="179" fontId="0" fillId="0" borderId="1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8" xfId="0" applyFill="1" applyBorder="1">
      <alignment vertical="center"/>
    </xf>
    <xf numFmtId="0" fontId="0" fillId="0" borderId="9" xfId="0" applyBorder="1">
      <alignment vertical="center"/>
    </xf>
    <xf numFmtId="180" fontId="0" fillId="5" borderId="13" xfId="0" applyNumberFormat="1" applyFill="1" applyBorder="1">
      <alignment vertical="center"/>
    </xf>
    <xf numFmtId="178" fontId="0" fillId="0" borderId="3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177" fontId="0" fillId="0" borderId="26" xfId="0" applyNumberFormat="1" applyBorder="1">
      <alignment vertical="center"/>
    </xf>
    <xf numFmtId="0" fontId="0" fillId="0" borderId="30" xfId="0" applyBorder="1">
      <alignment vertical="center"/>
    </xf>
    <xf numFmtId="0" fontId="0" fillId="2" borderId="13" xfId="0" applyFill="1" applyBorder="1">
      <alignment vertical="center"/>
    </xf>
    <xf numFmtId="0" fontId="0" fillId="3" borderId="3" xfId="0" applyFill="1" applyBorder="1">
      <alignment vertical="center"/>
    </xf>
    <xf numFmtId="178" fontId="4" fillId="3" borderId="4" xfId="0" applyNumberFormat="1" applyFont="1" applyFill="1" applyBorder="1">
      <alignment vertical="center"/>
    </xf>
    <xf numFmtId="180" fontId="0" fillId="5" borderId="25" xfId="0" applyNumberFormat="1" applyFill="1" applyBorder="1">
      <alignment vertical="center"/>
    </xf>
    <xf numFmtId="180" fontId="0" fillId="5" borderId="5" xfId="0" applyNumberFormat="1" applyFill="1" applyBorder="1">
      <alignment vertical="center"/>
    </xf>
    <xf numFmtId="178" fontId="0" fillId="0" borderId="5" xfId="0" applyNumberFormat="1" applyBorder="1">
      <alignment vertical="center"/>
    </xf>
    <xf numFmtId="178" fontId="0" fillId="0" borderId="6" xfId="0" applyNumberFormat="1" applyBorder="1">
      <alignment vertical="center"/>
    </xf>
    <xf numFmtId="0" fontId="0" fillId="2" borderId="7" xfId="0" applyFill="1" applyBorder="1">
      <alignment vertical="center"/>
    </xf>
    <xf numFmtId="0" fontId="0" fillId="0" borderId="5" xfId="0" applyBorder="1">
      <alignment vertical="center"/>
    </xf>
    <xf numFmtId="0" fontId="0" fillId="3" borderId="5" xfId="0" applyFill="1" applyBorder="1">
      <alignment vertical="center"/>
    </xf>
    <xf numFmtId="0" fontId="0" fillId="0" borderId="28" xfId="0" applyBorder="1">
      <alignment vertical="center"/>
    </xf>
    <xf numFmtId="177" fontId="0" fillId="0" borderId="5" xfId="0" applyNumberFormat="1" applyBorder="1">
      <alignment vertical="center"/>
    </xf>
    <xf numFmtId="179" fontId="3" fillId="0" borderId="5" xfId="0" applyNumberFormat="1" applyFont="1" applyBorder="1">
      <alignment vertical="center"/>
    </xf>
    <xf numFmtId="177" fontId="0" fillId="3" borderId="5" xfId="0" applyNumberFormat="1" applyFill="1" applyBorder="1">
      <alignment vertical="center"/>
    </xf>
    <xf numFmtId="178" fontId="6" fillId="0" borderId="5" xfId="0" applyNumberFormat="1" applyFont="1" applyBorder="1">
      <alignment vertical="center"/>
    </xf>
    <xf numFmtId="179" fontId="0" fillId="0" borderId="5" xfId="0" applyNumberFormat="1" applyBorder="1">
      <alignment vertical="center"/>
    </xf>
    <xf numFmtId="0" fontId="0" fillId="3" borderId="6" xfId="0" applyFill="1" applyBorder="1">
      <alignment vertical="center"/>
    </xf>
    <xf numFmtId="177" fontId="0" fillId="0" borderId="37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4" xfId="0" applyNumberFormat="1" applyBorder="1">
      <alignment vertical="center"/>
    </xf>
    <xf numFmtId="0" fontId="3" fillId="0" borderId="2" xfId="0" applyFont="1" applyBorder="1">
      <alignment vertical="center"/>
    </xf>
    <xf numFmtId="0" fontId="0" fillId="3" borderId="2" xfId="0" applyFill="1" applyBorder="1">
      <alignment vertical="center"/>
    </xf>
    <xf numFmtId="0" fontId="6" fillId="0" borderId="2" xfId="0" applyFont="1" applyBorder="1">
      <alignment vertical="center"/>
    </xf>
    <xf numFmtId="0" fontId="0" fillId="3" borderId="4" xfId="0" applyFill="1" applyBorder="1">
      <alignment vertical="center"/>
    </xf>
    <xf numFmtId="178" fontId="0" fillId="0" borderId="38" xfId="0" applyNumberFormat="1" applyBorder="1" applyAlignment="1">
      <alignment horizontal="center" vertical="center"/>
    </xf>
    <xf numFmtId="178" fontId="0" fillId="0" borderId="34" xfId="0" applyNumberFormat="1" applyBorder="1" applyAlignment="1">
      <alignment horizontal="center" vertical="center"/>
    </xf>
    <xf numFmtId="179" fontId="0" fillId="0" borderId="36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0" borderId="45" xfId="0" applyBorder="1">
      <alignment vertical="center"/>
    </xf>
    <xf numFmtId="0" fontId="0" fillId="2" borderId="3" xfId="0" applyFill="1" applyBorder="1">
      <alignment vertical="center"/>
    </xf>
    <xf numFmtId="0" fontId="0" fillId="0" borderId="8" xfId="0" applyBorder="1">
      <alignment vertical="center"/>
    </xf>
    <xf numFmtId="0" fontId="0" fillId="2" borderId="26" xfId="0" applyFill="1" applyBorder="1">
      <alignment vertical="center"/>
    </xf>
    <xf numFmtId="0" fontId="0" fillId="6" borderId="43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176" fontId="7" fillId="6" borderId="44" xfId="0" applyNumberFormat="1" applyFont="1" applyFill="1" applyBorder="1">
      <alignment vertical="center"/>
    </xf>
    <xf numFmtId="176" fontId="0" fillId="6" borderId="40" xfId="0" applyNumberFormat="1" applyFill="1" applyBorder="1">
      <alignment vertical="center"/>
    </xf>
    <xf numFmtId="176" fontId="0" fillId="6" borderId="43" xfId="0" applyNumberFormat="1" applyFill="1" applyBorder="1">
      <alignment vertical="center"/>
    </xf>
    <xf numFmtId="0" fontId="0" fillId="5" borderId="3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20" xfId="0" applyFill="1" applyBorder="1">
      <alignment vertical="center"/>
    </xf>
    <xf numFmtId="0" fontId="0" fillId="5" borderId="26" xfId="0" applyFill="1" applyBorder="1">
      <alignment vertical="center"/>
    </xf>
    <xf numFmtId="0" fontId="0" fillId="0" borderId="21" xfId="0" applyBorder="1">
      <alignment vertical="center"/>
    </xf>
    <xf numFmtId="0" fontId="8" fillId="0" borderId="0" xfId="0" applyFont="1">
      <alignment vertical="center"/>
    </xf>
    <xf numFmtId="178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0" fillId="0" borderId="1" xfId="0" applyBorder="1" applyAlignment="1">
      <alignment vertical="center" wrapText="1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3" xfId="0" applyBorder="1" applyAlignment="1">
      <alignment vertical="top"/>
    </xf>
    <xf numFmtId="176" fontId="0" fillId="6" borderId="43" xfId="0" applyNumberFormat="1" applyFill="1" applyBorder="1" applyAlignment="1">
      <alignment horizontal="center" vertical="center"/>
    </xf>
    <xf numFmtId="181" fontId="0" fillId="2" borderId="25" xfId="0" applyNumberFormat="1" applyFill="1" applyBorder="1">
      <alignment vertical="center"/>
    </xf>
    <xf numFmtId="181" fontId="0" fillId="2" borderId="13" xfId="0" applyNumberFormat="1" applyFill="1" applyBorder="1">
      <alignment vertical="center"/>
    </xf>
    <xf numFmtId="181" fontId="0" fillId="0" borderId="14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6" borderId="17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2" fillId="0" borderId="13" xfId="1" applyBorder="1" applyAlignment="1">
      <alignment horizontal="center" vertical="top" wrapText="1"/>
    </xf>
    <xf numFmtId="0" fontId="2" fillId="0" borderId="1" xfId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13" xfId="1" applyBorder="1" applyAlignment="1">
      <alignment horizontal="center" vertical="top"/>
    </xf>
    <xf numFmtId="0" fontId="2" fillId="0" borderId="1" xfId="1" applyBorder="1" applyAlignment="1">
      <alignment horizontal="center" vertical="top"/>
    </xf>
    <xf numFmtId="0" fontId="0" fillId="6" borderId="40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5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7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41" xfId="0" applyFill="1" applyBorder="1">
      <alignment vertical="center"/>
    </xf>
    <xf numFmtId="0" fontId="0" fillId="4" borderId="42" xfId="0" applyFill="1" applyBorder="1">
      <alignment vertical="center"/>
    </xf>
    <xf numFmtId="0" fontId="0" fillId="0" borderId="32" xfId="0" applyBorder="1">
      <alignment vertical="center"/>
    </xf>
    <xf numFmtId="0" fontId="0" fillId="0" borderId="39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図２　各種金額の経時変化　</a:t>
            </a:r>
          </a:p>
        </c:rich>
      </c:tx>
      <c:layout>
        <c:manualLayout>
          <c:xMode val="edge"/>
          <c:yMode val="edge"/>
          <c:x val="0.36920865422116866"/>
          <c:y val="0.90736273002282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643223408759468"/>
          <c:y val="2.4254861823680869E-2"/>
          <c:w val="0.85683038831238822"/>
          <c:h val="0.806565023313791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'太陽光＋蓄電池'!$B$103</c:f>
              <c:strCache>
                <c:ptCount val="1"/>
                <c:pt idx="0">
                  <c:v>①何も設置しない場合の年間電気代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'太陽光＋蓄電池'!$D$102:$R$102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'太陽光＋蓄電池'!$D$103:$R$103</c:f>
              <c:numCache>
                <c:formatCode>0.0_);[Red]\(0.0\)</c:formatCode>
                <c:ptCount val="15"/>
                <c:pt idx="0">
                  <c:v>12.134835000000001</c:v>
                </c:pt>
                <c:pt idx="1">
                  <c:v>12.134835000000001</c:v>
                </c:pt>
                <c:pt idx="2">
                  <c:v>12.134835000000001</c:v>
                </c:pt>
                <c:pt idx="3">
                  <c:v>12.134835000000001</c:v>
                </c:pt>
                <c:pt idx="4">
                  <c:v>12.134835000000001</c:v>
                </c:pt>
                <c:pt idx="5">
                  <c:v>12.134835000000001</c:v>
                </c:pt>
                <c:pt idx="6">
                  <c:v>12.134835000000001</c:v>
                </c:pt>
                <c:pt idx="7">
                  <c:v>12.134835000000001</c:v>
                </c:pt>
                <c:pt idx="8">
                  <c:v>12.134835000000001</c:v>
                </c:pt>
                <c:pt idx="9">
                  <c:v>12.134835000000001</c:v>
                </c:pt>
                <c:pt idx="10">
                  <c:v>12.134835000000001</c:v>
                </c:pt>
                <c:pt idx="11">
                  <c:v>12.134835000000001</c:v>
                </c:pt>
                <c:pt idx="12">
                  <c:v>12.134835000000001</c:v>
                </c:pt>
                <c:pt idx="13">
                  <c:v>12.134835000000001</c:v>
                </c:pt>
                <c:pt idx="14">
                  <c:v>12.134835000000001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E8-4D1F-9DE1-E512F76F1C0A}"/>
            </c:ext>
          </c:extLst>
        </c:ser>
        <c:ser>
          <c:idx val="1"/>
          <c:order val="1"/>
          <c:tx>
            <c:strRef>
              <c:f>'太陽光＋蓄電池'!$B$104</c:f>
              <c:strCache>
                <c:ptCount val="1"/>
                <c:pt idx="0">
                  <c:v>②太陽光や蓄電池を設置した場合の年間電気代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'太陽光＋蓄電池'!$D$102:$R$102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'太陽光＋蓄電池'!$D$104:$R$104</c:f>
              <c:numCache>
                <c:formatCode>0.0_);[Red]\(0.0\)</c:formatCode>
                <c:ptCount val="15"/>
                <c:pt idx="0">
                  <c:v>3.7131074999999996</c:v>
                </c:pt>
                <c:pt idx="1">
                  <c:v>3.7131074999999996</c:v>
                </c:pt>
                <c:pt idx="2">
                  <c:v>3.7131074999999996</c:v>
                </c:pt>
                <c:pt idx="3">
                  <c:v>3.7131074999999996</c:v>
                </c:pt>
                <c:pt idx="4">
                  <c:v>3.7131074999999996</c:v>
                </c:pt>
                <c:pt idx="5">
                  <c:v>3.7131074999999996</c:v>
                </c:pt>
                <c:pt idx="6">
                  <c:v>3.7131074999999996</c:v>
                </c:pt>
                <c:pt idx="7">
                  <c:v>3.7131074999999996</c:v>
                </c:pt>
                <c:pt idx="8">
                  <c:v>3.7131074999999996</c:v>
                </c:pt>
                <c:pt idx="9">
                  <c:v>3.7131074999999996</c:v>
                </c:pt>
                <c:pt idx="10">
                  <c:v>3.7131074999999996</c:v>
                </c:pt>
                <c:pt idx="11">
                  <c:v>3.7131074999999996</c:v>
                </c:pt>
                <c:pt idx="12">
                  <c:v>3.7131074999999996</c:v>
                </c:pt>
                <c:pt idx="13">
                  <c:v>3.7131074999999996</c:v>
                </c:pt>
                <c:pt idx="14">
                  <c:v>3.7131074999999996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E8-4D1F-9DE1-E512F76F1C0A}"/>
            </c:ext>
          </c:extLst>
        </c:ser>
        <c:ser>
          <c:idx val="2"/>
          <c:order val="2"/>
          <c:tx>
            <c:strRef>
              <c:f>'太陽光＋蓄電池'!$B$105</c:f>
              <c:strCache>
                <c:ptCount val="1"/>
                <c:pt idx="0">
                  <c:v>③年間売電金額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'太陽光＋蓄電池'!$D$102:$R$102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'太陽光＋蓄電池'!$D$105:$R$105</c:f>
              <c:numCache>
                <c:formatCode>0.0_);[Red]\(0.0\)</c:formatCode>
                <c:ptCount val="15"/>
                <c:pt idx="0">
                  <c:v>2.7107705739570163</c:v>
                </c:pt>
                <c:pt idx="1">
                  <c:v>2.7107705739570163</c:v>
                </c:pt>
                <c:pt idx="2">
                  <c:v>2.7107705739570163</c:v>
                </c:pt>
                <c:pt idx="3">
                  <c:v>2.7107705739570163</c:v>
                </c:pt>
                <c:pt idx="4">
                  <c:v>2.7107705739570163</c:v>
                </c:pt>
                <c:pt idx="5">
                  <c:v>2.7107705739570163</c:v>
                </c:pt>
                <c:pt idx="6">
                  <c:v>2.7107705739570163</c:v>
                </c:pt>
                <c:pt idx="7">
                  <c:v>2.7107705739570163</c:v>
                </c:pt>
                <c:pt idx="8">
                  <c:v>2.7107705739570163</c:v>
                </c:pt>
                <c:pt idx="9">
                  <c:v>2.7107705739570163</c:v>
                </c:pt>
                <c:pt idx="10">
                  <c:v>1.3553852869785081</c:v>
                </c:pt>
                <c:pt idx="11">
                  <c:v>1.3553852869785081</c:v>
                </c:pt>
                <c:pt idx="12">
                  <c:v>1.3553852869785081</c:v>
                </c:pt>
                <c:pt idx="13">
                  <c:v>1.3553852869785081</c:v>
                </c:pt>
                <c:pt idx="14">
                  <c:v>1.3553852869785081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CE8-4D1F-9DE1-E512F76F1C0A}"/>
            </c:ext>
          </c:extLst>
        </c:ser>
        <c:ser>
          <c:idx val="3"/>
          <c:order val="3"/>
          <c:tx>
            <c:strRef>
              <c:f>'太陽光＋蓄電池'!$B$106</c:f>
              <c:strCache>
                <c:ptCount val="1"/>
                <c:pt idx="0">
                  <c:v>④年間節約金額（①－②＋③）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'太陽光＋蓄電池'!$D$102:$R$102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'太陽光＋蓄電池'!$D$106:$R$106</c:f>
              <c:numCache>
                <c:formatCode>0.0_);[Red]\(0.0\)</c:formatCode>
                <c:ptCount val="15"/>
                <c:pt idx="0">
                  <c:v>11.132498073957017</c:v>
                </c:pt>
                <c:pt idx="1">
                  <c:v>11.132498073957017</c:v>
                </c:pt>
                <c:pt idx="2">
                  <c:v>11.132498073957017</c:v>
                </c:pt>
                <c:pt idx="3">
                  <c:v>11.132498073957017</c:v>
                </c:pt>
                <c:pt idx="4">
                  <c:v>11.132498073957017</c:v>
                </c:pt>
                <c:pt idx="5">
                  <c:v>11.132498073957017</c:v>
                </c:pt>
                <c:pt idx="6">
                  <c:v>11.132498073957017</c:v>
                </c:pt>
                <c:pt idx="7">
                  <c:v>11.132498073957017</c:v>
                </c:pt>
                <c:pt idx="8">
                  <c:v>11.132498073957017</c:v>
                </c:pt>
                <c:pt idx="9">
                  <c:v>11.132498073957017</c:v>
                </c:pt>
                <c:pt idx="10">
                  <c:v>9.7771127869785097</c:v>
                </c:pt>
                <c:pt idx="11">
                  <c:v>9.7771127869785097</c:v>
                </c:pt>
                <c:pt idx="12">
                  <c:v>9.7771127869785097</c:v>
                </c:pt>
                <c:pt idx="13">
                  <c:v>9.7771127869785097</c:v>
                </c:pt>
                <c:pt idx="14">
                  <c:v>9.7771127869785097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CE8-4D1F-9DE1-E512F76F1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062944"/>
        <c:axId val="595058624"/>
      </c:scatterChart>
      <c:valAx>
        <c:axId val="59506294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経過年数</a:t>
                </a:r>
              </a:p>
            </c:rich>
          </c:tx>
          <c:layout>
            <c:manualLayout>
              <c:xMode val="edge"/>
              <c:yMode val="edge"/>
              <c:x val="0.88335900214541641"/>
              <c:y val="0.86445789155148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058624"/>
        <c:crosses val="autoZero"/>
        <c:crossBetween val="midCat"/>
      </c:valAx>
      <c:valAx>
        <c:axId val="59505862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金額 </a:t>
                </a:r>
                <a:r>
                  <a:rPr lang="en-US" altLang="ja-JP"/>
                  <a:t>[</a:t>
                </a:r>
                <a:r>
                  <a:rPr lang="ja-JP" altLang="en-US"/>
                  <a:t>万円］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062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956119619764936"/>
          <c:y val="3.813015635675733E-2"/>
          <c:w val="0.52055071433661693"/>
          <c:h val="0.15159549071387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図１　原価償却年数</a:t>
            </a:r>
          </a:p>
        </c:rich>
      </c:tx>
      <c:layout>
        <c:manualLayout>
          <c:xMode val="edge"/>
          <c:yMode val="edge"/>
          <c:x val="0.38768577057716608"/>
          <c:y val="0.91729821306436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643227108297194"/>
          <c:y val="1.8180252789170962E-2"/>
          <c:w val="0.85070418639935952"/>
          <c:h val="0.88926556198457551"/>
        </c:manualLayout>
      </c:layout>
      <c:scatterChart>
        <c:scatterStyle val="lineMarker"/>
        <c:varyColors val="0"/>
        <c:ser>
          <c:idx val="4"/>
          <c:order val="0"/>
          <c:tx>
            <c:strRef>
              <c:f>'太陽光＋蓄電池'!$B$107</c:f>
              <c:strCache>
                <c:ptCount val="1"/>
                <c:pt idx="0">
                  <c:v>⑤減価償却（設置費用－④×年数）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'太陽光＋蓄電池'!$D$102:$W$102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'太陽光＋蓄電池'!$D$107:$W$107</c:f>
              <c:numCache>
                <c:formatCode>0.0_ </c:formatCode>
                <c:ptCount val="20"/>
                <c:pt idx="0">
                  <c:v>72.867501926042991</c:v>
                </c:pt>
                <c:pt idx="1">
                  <c:v>61.735003852085967</c:v>
                </c:pt>
                <c:pt idx="2">
                  <c:v>50.60250577812895</c:v>
                </c:pt>
                <c:pt idx="3">
                  <c:v>39.470007704171934</c:v>
                </c:pt>
                <c:pt idx="4">
                  <c:v>28.337509630214917</c:v>
                </c:pt>
                <c:pt idx="5">
                  <c:v>17.205011556257901</c:v>
                </c:pt>
                <c:pt idx="6">
                  <c:v>6.0725134823008773</c:v>
                </c:pt>
                <c:pt idx="7">
                  <c:v>-5.0599845916561321</c:v>
                </c:pt>
                <c:pt idx="8">
                  <c:v>-16.192482665613142</c:v>
                </c:pt>
                <c:pt idx="9">
                  <c:v>-27.324980739570151</c:v>
                </c:pt>
                <c:pt idx="10">
                  <c:v>-37.102093526548657</c:v>
                </c:pt>
                <c:pt idx="11">
                  <c:v>-46.879206313527163</c:v>
                </c:pt>
                <c:pt idx="12">
                  <c:v>-56.656319100505669</c:v>
                </c:pt>
                <c:pt idx="13">
                  <c:v>-66.433431887484176</c:v>
                </c:pt>
                <c:pt idx="14">
                  <c:v>-76.210544674462682</c:v>
                </c:pt>
                <c:pt idx="15">
                  <c:v>-85.987657461441188</c:v>
                </c:pt>
                <c:pt idx="16">
                  <c:v>-95.764770248419694</c:v>
                </c:pt>
                <c:pt idx="17">
                  <c:v>-105.5418830353982</c:v>
                </c:pt>
                <c:pt idx="18">
                  <c:v>-115.31899582237671</c:v>
                </c:pt>
                <c:pt idx="19">
                  <c:v>-125.09610860935521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779-4B89-82F9-F3E112351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062944"/>
        <c:axId val="595058624"/>
      </c:scatterChart>
      <c:valAx>
        <c:axId val="59506294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経過年数</a:t>
                </a:r>
              </a:p>
            </c:rich>
          </c:tx>
          <c:layout>
            <c:manualLayout>
              <c:xMode val="edge"/>
              <c:yMode val="edge"/>
              <c:x val="0.89034229089715422"/>
              <c:y val="0.553044351704592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058624"/>
        <c:crosses val="autoZero"/>
        <c:crossBetween val="midCat"/>
      </c:valAx>
      <c:valAx>
        <c:axId val="595058624"/>
        <c:scaling>
          <c:orientation val="minMax"/>
          <c:max val="3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金額 </a:t>
                </a:r>
                <a:r>
                  <a:rPr lang="en-US" altLang="ja-JP"/>
                  <a:t>[</a:t>
                </a:r>
                <a:r>
                  <a:rPr lang="ja-JP" altLang="en-US"/>
                  <a:t>万円］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062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682429291530065"/>
          <c:y val="2.2229581528447104E-2"/>
          <c:w val="0.52055071433661693"/>
          <c:h val="0.15159549071387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609013</xdr:colOff>
      <xdr:row>78</xdr:row>
      <xdr:rowOff>203609</xdr:rowOff>
    </xdr:from>
    <xdr:to>
      <xdr:col>14</xdr:col>
      <xdr:colOff>438039</xdr:colOff>
      <xdr:row>96</xdr:row>
      <xdr:rowOff>18365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0B4C42E-7711-6DFD-AC6D-445419158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238604</xdr:colOff>
      <xdr:row>78</xdr:row>
      <xdr:rowOff>192522</xdr:rowOff>
    </xdr:from>
    <xdr:to>
      <xdr:col>5</xdr:col>
      <xdr:colOff>468923</xdr:colOff>
      <xdr:row>95</xdr:row>
      <xdr:rowOff>214829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FF92F83-DE0E-4D2B-96F7-3BB22ED45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me-construction.jp/" TargetMode="External"/><Relationship Id="rId2" Type="http://schemas.openxmlformats.org/officeDocument/2006/relationships/hyperlink" Target="https://eco.mtk.nao.ac.jp/koyomi/dni/" TargetMode="External"/><Relationship Id="rId1" Type="http://schemas.openxmlformats.org/officeDocument/2006/relationships/hyperlink" Target="https://www2.panasonic.biz/jp/solution/theme/energymanagement/sola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F094-986A-4961-9D8E-5EE3D27458D1}">
  <dimension ref="A1:X117"/>
  <sheetViews>
    <sheetView tabSelected="1" zoomScale="160" zoomScaleNormal="160" workbookViewId="0">
      <selection activeCell="F22" sqref="F22:I22"/>
    </sheetView>
  </sheetViews>
  <sheetFormatPr defaultRowHeight="18.75" x14ac:dyDescent="0.4"/>
  <cols>
    <col min="1" max="1" width="5.125" customWidth="1"/>
    <col min="2" max="2" width="24.25" customWidth="1"/>
    <col min="3" max="3" width="28.875" customWidth="1"/>
    <col min="4" max="4" width="14.375" customWidth="1"/>
    <col min="5" max="5" width="11.125" customWidth="1"/>
    <col min="6" max="6" width="9.375" bestFit="1" customWidth="1"/>
    <col min="7" max="7" width="9.5" customWidth="1"/>
    <col min="17" max="17" width="12.5" customWidth="1"/>
    <col min="18" max="18" width="10.875" bestFit="1" customWidth="1"/>
  </cols>
  <sheetData>
    <row r="1" spans="1:17" ht="19.5" x14ac:dyDescent="0.4">
      <c r="B1" s="92" t="s">
        <v>72</v>
      </c>
    </row>
    <row r="3" spans="1:17" x14ac:dyDescent="0.4">
      <c r="A3" t="s">
        <v>90</v>
      </c>
    </row>
    <row r="4" spans="1:17" x14ac:dyDescent="0.4">
      <c r="B4" t="s">
        <v>91</v>
      </c>
      <c r="C4" t="s">
        <v>92</v>
      </c>
    </row>
    <row r="5" spans="1:17" x14ac:dyDescent="0.4">
      <c r="B5" t="s">
        <v>93</v>
      </c>
      <c r="C5" s="1" t="s">
        <v>94</v>
      </c>
    </row>
    <row r="7" spans="1:17" x14ac:dyDescent="0.4">
      <c r="A7" t="s">
        <v>97</v>
      </c>
    </row>
    <row r="9" spans="1:17" x14ac:dyDescent="0.4">
      <c r="B9" s="116" t="s">
        <v>36</v>
      </c>
      <c r="C9" s="117"/>
      <c r="D9" s="82" t="s">
        <v>37</v>
      </c>
      <c r="E9" s="83" t="s">
        <v>35</v>
      </c>
      <c r="F9" s="125" t="s">
        <v>38</v>
      </c>
      <c r="G9" s="117"/>
      <c r="H9" s="117"/>
      <c r="I9" s="117"/>
      <c r="J9" s="117"/>
      <c r="K9" s="117"/>
      <c r="L9" s="117"/>
      <c r="M9" s="117"/>
      <c r="N9" s="117"/>
      <c r="O9" s="126"/>
    </row>
    <row r="10" spans="1:17" x14ac:dyDescent="0.4">
      <c r="B10" s="174" t="s">
        <v>46</v>
      </c>
      <c r="C10" s="14" t="s">
        <v>5</v>
      </c>
      <c r="D10" s="49">
        <v>1476.45</v>
      </c>
      <c r="E10" s="23" t="s">
        <v>6</v>
      </c>
      <c r="F10" s="127" t="s">
        <v>71</v>
      </c>
      <c r="G10" s="128"/>
      <c r="H10" s="128"/>
      <c r="I10" s="128"/>
      <c r="J10" s="128"/>
      <c r="K10" s="128"/>
      <c r="L10" s="128"/>
      <c r="M10" s="128"/>
      <c r="N10" s="128"/>
      <c r="O10" s="129"/>
      <c r="Q10" t="s">
        <v>77</v>
      </c>
    </row>
    <row r="11" spans="1:17" ht="18.75" customHeight="1" x14ac:dyDescent="0.4">
      <c r="B11" s="175"/>
      <c r="C11" s="177" t="s">
        <v>101</v>
      </c>
      <c r="D11" s="28">
        <v>30</v>
      </c>
      <c r="E11" s="25" t="s">
        <v>4</v>
      </c>
      <c r="F11" s="57">
        <v>0</v>
      </c>
      <c r="G11" s="26" t="s">
        <v>33</v>
      </c>
      <c r="H11" s="28">
        <v>120</v>
      </c>
      <c r="I11" s="26" t="s">
        <v>34</v>
      </c>
      <c r="J11" s="149" t="s">
        <v>70</v>
      </c>
      <c r="K11" s="149"/>
      <c r="L11" s="149"/>
      <c r="M11" s="149"/>
      <c r="N11" s="149"/>
      <c r="O11" s="150"/>
      <c r="Q11" s="2" t="s">
        <v>17</v>
      </c>
    </row>
    <row r="12" spans="1:17" x14ac:dyDescent="0.4">
      <c r="B12" s="175"/>
      <c r="C12" s="177"/>
      <c r="D12" s="28">
        <v>35.049999999999997</v>
      </c>
      <c r="E12" s="25" t="s">
        <v>4</v>
      </c>
      <c r="F12" s="57">
        <f>H11</f>
        <v>120</v>
      </c>
      <c r="G12" s="26" t="s">
        <v>33</v>
      </c>
      <c r="H12" s="28">
        <v>300</v>
      </c>
      <c r="I12" s="26" t="s">
        <v>34</v>
      </c>
      <c r="J12" s="149"/>
      <c r="K12" s="149"/>
      <c r="L12" s="149"/>
      <c r="M12" s="149"/>
      <c r="N12" s="149"/>
      <c r="O12" s="150"/>
      <c r="Q12" s="22" t="s">
        <v>32</v>
      </c>
    </row>
    <row r="13" spans="1:17" x14ac:dyDescent="0.4">
      <c r="B13" s="176"/>
      <c r="C13" s="142"/>
      <c r="D13" s="79">
        <v>37.1</v>
      </c>
      <c r="E13" s="39" t="s">
        <v>4</v>
      </c>
      <c r="F13" s="20">
        <f>H12</f>
        <v>300</v>
      </c>
      <c r="G13" s="38" t="s">
        <v>33</v>
      </c>
      <c r="H13" s="38"/>
      <c r="I13" s="38" t="s">
        <v>34</v>
      </c>
      <c r="J13" s="151"/>
      <c r="K13" s="151"/>
      <c r="L13" s="151"/>
      <c r="M13" s="151"/>
      <c r="N13" s="151"/>
      <c r="O13" s="152"/>
      <c r="Q13" s="3" t="s">
        <v>57</v>
      </c>
    </row>
    <row r="14" spans="1:17" x14ac:dyDescent="0.4">
      <c r="B14" s="139" t="s">
        <v>95</v>
      </c>
      <c r="C14" s="140"/>
      <c r="D14" s="80">
        <v>5.44</v>
      </c>
      <c r="E14" s="41" t="s">
        <v>7</v>
      </c>
      <c r="F14" s="136" t="s">
        <v>102</v>
      </c>
      <c r="G14" s="137"/>
      <c r="H14" s="137"/>
      <c r="I14" s="137"/>
      <c r="J14" s="137"/>
      <c r="K14" s="137"/>
      <c r="L14" s="137"/>
      <c r="M14" s="137"/>
      <c r="N14" s="137"/>
      <c r="O14" s="138"/>
    </row>
    <row r="15" spans="1:17" ht="34.5" customHeight="1" x14ac:dyDescent="0.4">
      <c r="B15" s="141" t="s">
        <v>96</v>
      </c>
      <c r="C15" s="142"/>
      <c r="D15" s="79">
        <v>11.4</v>
      </c>
      <c r="E15" s="39" t="s">
        <v>0</v>
      </c>
      <c r="F15" s="130" t="s">
        <v>48</v>
      </c>
      <c r="G15" s="131"/>
      <c r="H15" s="131"/>
      <c r="I15" s="131"/>
      <c r="J15" s="131"/>
      <c r="K15" s="131"/>
      <c r="L15" s="131"/>
      <c r="M15" s="131"/>
      <c r="N15" s="131"/>
      <c r="O15" s="132"/>
    </row>
    <row r="16" spans="1:17" x14ac:dyDescent="0.4">
      <c r="B16" s="143" t="s">
        <v>43</v>
      </c>
      <c r="C16" s="144"/>
      <c r="D16" s="81">
        <v>84</v>
      </c>
      <c r="E16" s="48" t="s">
        <v>21</v>
      </c>
      <c r="F16" s="133" t="s">
        <v>45</v>
      </c>
      <c r="G16" s="134"/>
      <c r="H16" s="134"/>
      <c r="I16" s="134"/>
      <c r="J16" s="134"/>
      <c r="K16" s="134"/>
      <c r="L16" s="134"/>
      <c r="M16" s="134"/>
      <c r="N16" s="134"/>
      <c r="O16" s="135"/>
    </row>
    <row r="17" spans="1:18" x14ac:dyDescent="0.4">
      <c r="B17" s="13"/>
      <c r="C17" s="13"/>
    </row>
    <row r="18" spans="1:18" x14ac:dyDescent="0.4">
      <c r="A18" t="s">
        <v>98</v>
      </c>
      <c r="B18" s="21"/>
      <c r="C18" s="13"/>
    </row>
    <row r="19" spans="1:18" x14ac:dyDescent="0.4">
      <c r="B19" s="116" t="s">
        <v>36</v>
      </c>
      <c r="C19" s="117"/>
      <c r="D19" s="82" t="s">
        <v>37</v>
      </c>
      <c r="E19" s="83" t="s">
        <v>35</v>
      </c>
      <c r="F19" s="125" t="s">
        <v>38</v>
      </c>
      <c r="G19" s="117"/>
      <c r="H19" s="117"/>
      <c r="I19" s="126"/>
    </row>
    <row r="20" spans="1:18" x14ac:dyDescent="0.4">
      <c r="B20" s="182" t="s">
        <v>110</v>
      </c>
      <c r="C20" s="14" t="s">
        <v>2</v>
      </c>
      <c r="D20" s="88">
        <v>4</v>
      </c>
      <c r="E20" s="23" t="s">
        <v>39</v>
      </c>
      <c r="F20" s="155" t="s">
        <v>111</v>
      </c>
      <c r="G20" s="156"/>
      <c r="H20" s="156"/>
      <c r="I20" s="157"/>
    </row>
    <row r="21" spans="1:18" x14ac:dyDescent="0.4">
      <c r="B21" s="141"/>
      <c r="C21" s="16" t="s">
        <v>3</v>
      </c>
      <c r="D21" s="87">
        <f>10-D20</f>
        <v>6</v>
      </c>
      <c r="E21" s="39" t="s">
        <v>39</v>
      </c>
      <c r="F21" s="130"/>
      <c r="G21" s="131"/>
      <c r="H21" s="131"/>
      <c r="I21" s="132"/>
    </row>
    <row r="22" spans="1:18" ht="63.75" customHeight="1" x14ac:dyDescent="0.4">
      <c r="B22" s="153" t="s">
        <v>42</v>
      </c>
      <c r="C22" s="154"/>
      <c r="D22" s="89">
        <v>0.15</v>
      </c>
      <c r="E22" s="91" t="s">
        <v>41</v>
      </c>
      <c r="F22" s="167" t="s">
        <v>44</v>
      </c>
      <c r="G22" s="168"/>
      <c r="H22" s="168"/>
      <c r="I22" s="169"/>
    </row>
    <row r="23" spans="1:18" x14ac:dyDescent="0.4">
      <c r="B23" s="182" t="s">
        <v>81</v>
      </c>
      <c r="C23" s="14" t="s">
        <v>27</v>
      </c>
      <c r="D23" s="88">
        <v>16</v>
      </c>
      <c r="E23" s="23" t="s">
        <v>14</v>
      </c>
      <c r="F23" s="158"/>
      <c r="G23" s="159"/>
      <c r="H23" s="159"/>
      <c r="I23" s="160"/>
    </row>
    <row r="24" spans="1:18" x14ac:dyDescent="0.4">
      <c r="B24" s="141"/>
      <c r="C24" s="16" t="s">
        <v>28</v>
      </c>
      <c r="D24" s="87">
        <v>8</v>
      </c>
      <c r="E24" s="39" t="s">
        <v>4</v>
      </c>
      <c r="F24" s="161"/>
      <c r="G24" s="162"/>
      <c r="H24" s="162"/>
      <c r="I24" s="163"/>
    </row>
    <row r="25" spans="1:18" ht="70.5" customHeight="1" x14ac:dyDescent="0.4">
      <c r="B25" s="143" t="s">
        <v>31</v>
      </c>
      <c r="C25" s="144"/>
      <c r="D25" s="90">
        <v>1</v>
      </c>
      <c r="E25" s="48" t="s">
        <v>30</v>
      </c>
      <c r="F25" s="164" t="s">
        <v>40</v>
      </c>
      <c r="G25" s="165"/>
      <c r="H25" s="165"/>
      <c r="I25" s="166"/>
    </row>
    <row r="27" spans="1:18" x14ac:dyDescent="0.4">
      <c r="A27" t="s">
        <v>99</v>
      </c>
    </row>
    <row r="28" spans="1:18" x14ac:dyDescent="0.4">
      <c r="B28" s="116" t="s">
        <v>36</v>
      </c>
      <c r="C28" s="117"/>
      <c r="D28" s="117"/>
      <c r="E28" s="84">
        <v>44621</v>
      </c>
      <c r="F28" s="85">
        <v>44652</v>
      </c>
      <c r="G28" s="86">
        <v>44682</v>
      </c>
      <c r="H28" s="86">
        <v>44713</v>
      </c>
      <c r="I28" s="86">
        <v>44743</v>
      </c>
      <c r="J28" s="86">
        <v>44774</v>
      </c>
      <c r="K28" s="86">
        <v>44805</v>
      </c>
      <c r="L28" s="86">
        <v>44835</v>
      </c>
      <c r="M28" s="86">
        <v>44866</v>
      </c>
      <c r="N28" s="86">
        <v>44896</v>
      </c>
      <c r="O28" s="86">
        <v>44927</v>
      </c>
      <c r="P28" s="86">
        <v>44958</v>
      </c>
      <c r="Q28" s="106">
        <v>44986</v>
      </c>
      <c r="R28" s="83" t="s">
        <v>18</v>
      </c>
    </row>
    <row r="29" spans="1:18" x14ac:dyDescent="0.4">
      <c r="B29" s="113" t="s">
        <v>69</v>
      </c>
      <c r="C29" s="123" t="s">
        <v>56</v>
      </c>
      <c r="D29" s="99" t="s">
        <v>54</v>
      </c>
      <c r="E29" s="17"/>
      <c r="F29" s="52">
        <v>0.21388888888888891</v>
      </c>
      <c r="G29" s="42">
        <v>0.19166666666666665</v>
      </c>
      <c r="H29" s="42">
        <v>0.18402777777777779</v>
      </c>
      <c r="I29" s="42">
        <v>0.19236111111111112</v>
      </c>
      <c r="J29" s="42">
        <v>0.20833333333333334</v>
      </c>
      <c r="K29" s="42">
        <v>0.22500000000000001</v>
      </c>
      <c r="L29" s="42">
        <v>0.24097222222222223</v>
      </c>
      <c r="M29" s="42">
        <v>0.26180555555555557</v>
      </c>
      <c r="N29" s="42">
        <v>0.27986111111111112</v>
      </c>
      <c r="O29" s="42">
        <v>0.28472222222222221</v>
      </c>
      <c r="P29" s="42">
        <v>0.27013888888888887</v>
      </c>
      <c r="Q29" s="42">
        <v>0.24444444444444446</v>
      </c>
      <c r="R29" s="23" t="s">
        <v>39</v>
      </c>
    </row>
    <row r="30" spans="1:18" x14ac:dyDescent="0.4">
      <c r="B30" s="114"/>
      <c r="C30" s="124"/>
      <c r="D30" s="100" t="s">
        <v>55</v>
      </c>
      <c r="E30" s="15"/>
      <c r="F30" s="53">
        <v>0.7597222222222223</v>
      </c>
      <c r="G30" s="24">
        <v>0.77708333333333324</v>
      </c>
      <c r="H30" s="24">
        <v>0.7909722222222223</v>
      </c>
      <c r="I30" s="24">
        <v>0.7895833333333333</v>
      </c>
      <c r="J30" s="24">
        <v>0.7715277777777777</v>
      </c>
      <c r="K30" s="24">
        <v>0.7416666666666667</v>
      </c>
      <c r="L30" s="24">
        <v>0.71250000000000002</v>
      </c>
      <c r="M30" s="24">
        <v>0.69027777777777777</v>
      </c>
      <c r="N30" s="24">
        <v>0.68680555555555556</v>
      </c>
      <c r="O30" s="24">
        <v>0.70138888888888884</v>
      </c>
      <c r="P30" s="24">
        <v>0.72361111111111109</v>
      </c>
      <c r="Q30" s="24">
        <v>0.74236111111111114</v>
      </c>
      <c r="R30" s="25" t="s">
        <v>39</v>
      </c>
    </row>
    <row r="31" spans="1:18" x14ac:dyDescent="0.4">
      <c r="B31" s="114"/>
      <c r="C31" s="121" t="s">
        <v>50</v>
      </c>
      <c r="D31" s="101" t="s">
        <v>52</v>
      </c>
      <c r="E31" s="67" t="s">
        <v>51</v>
      </c>
      <c r="F31" s="54">
        <f>(F30-F29)*24</f>
        <v>13.100000000000001</v>
      </c>
      <c r="G31" s="27">
        <f t="shared" ref="G31:Q31" si="0">(G30-G29)*24</f>
        <v>14.049999999999997</v>
      </c>
      <c r="H31" s="27">
        <f t="shared" si="0"/>
        <v>14.566666666666668</v>
      </c>
      <c r="I31" s="27">
        <f t="shared" si="0"/>
        <v>14.333333333333332</v>
      </c>
      <c r="J31" s="27">
        <f t="shared" si="0"/>
        <v>13.516666666666664</v>
      </c>
      <c r="K31" s="27">
        <f t="shared" si="0"/>
        <v>12.400000000000002</v>
      </c>
      <c r="L31" s="27">
        <f t="shared" si="0"/>
        <v>11.316666666666666</v>
      </c>
      <c r="M31" s="27">
        <f t="shared" si="0"/>
        <v>10.283333333333333</v>
      </c>
      <c r="N31" s="27">
        <f t="shared" si="0"/>
        <v>9.7666666666666657</v>
      </c>
      <c r="O31" s="27">
        <f t="shared" si="0"/>
        <v>10</v>
      </c>
      <c r="P31" s="27">
        <f t="shared" si="0"/>
        <v>10.883333333333333</v>
      </c>
      <c r="Q31" s="27">
        <f t="shared" si="0"/>
        <v>11.95</v>
      </c>
      <c r="R31" s="25" t="s">
        <v>39</v>
      </c>
    </row>
    <row r="32" spans="1:18" x14ac:dyDescent="0.4">
      <c r="B32" s="115"/>
      <c r="C32" s="122"/>
      <c r="D32" s="102" t="s">
        <v>53</v>
      </c>
      <c r="E32" s="68" t="s">
        <v>51</v>
      </c>
      <c r="F32" s="55">
        <f>24-F31</f>
        <v>10.899999999999999</v>
      </c>
      <c r="G32" s="43">
        <f t="shared" ref="G32:Q32" si="1">24-G31</f>
        <v>9.9500000000000028</v>
      </c>
      <c r="H32" s="43">
        <f t="shared" si="1"/>
        <v>9.4333333333333318</v>
      </c>
      <c r="I32" s="43">
        <f t="shared" si="1"/>
        <v>9.6666666666666679</v>
      </c>
      <c r="J32" s="43">
        <f t="shared" si="1"/>
        <v>10.483333333333336</v>
      </c>
      <c r="K32" s="43">
        <f t="shared" si="1"/>
        <v>11.599999999999998</v>
      </c>
      <c r="L32" s="43">
        <f t="shared" si="1"/>
        <v>12.683333333333334</v>
      </c>
      <c r="M32" s="43">
        <f t="shared" si="1"/>
        <v>13.716666666666667</v>
      </c>
      <c r="N32" s="43">
        <f t="shared" si="1"/>
        <v>14.233333333333334</v>
      </c>
      <c r="O32" s="43">
        <f t="shared" si="1"/>
        <v>14</v>
      </c>
      <c r="P32" s="43">
        <f t="shared" si="1"/>
        <v>13.116666666666667</v>
      </c>
      <c r="Q32" s="43">
        <f t="shared" si="1"/>
        <v>12.05</v>
      </c>
      <c r="R32" s="39" t="s">
        <v>39</v>
      </c>
    </row>
    <row r="33" spans="2:18" x14ac:dyDescent="0.4">
      <c r="B33" s="183" t="s">
        <v>47</v>
      </c>
      <c r="C33" s="147" t="s">
        <v>106</v>
      </c>
      <c r="D33" s="103" t="s">
        <v>1</v>
      </c>
      <c r="E33" s="41" t="s">
        <v>0</v>
      </c>
      <c r="F33" s="56">
        <v>218</v>
      </c>
      <c r="G33" s="40">
        <v>181</v>
      </c>
      <c r="H33" s="40">
        <v>216</v>
      </c>
      <c r="I33" s="40">
        <v>306</v>
      </c>
      <c r="J33" s="40">
        <v>346</v>
      </c>
      <c r="K33" s="40">
        <v>306</v>
      </c>
      <c r="L33" s="40">
        <v>238</v>
      </c>
      <c r="M33" s="40">
        <v>217</v>
      </c>
      <c r="N33" s="40">
        <v>215</v>
      </c>
      <c r="O33" s="40">
        <v>344</v>
      </c>
      <c r="P33" s="40">
        <v>250</v>
      </c>
      <c r="Q33" s="40">
        <v>320</v>
      </c>
      <c r="R33" s="41">
        <f>SUM(F33:Q33)</f>
        <v>3157</v>
      </c>
    </row>
    <row r="34" spans="2:18" x14ac:dyDescent="0.4">
      <c r="B34" s="184"/>
      <c r="C34" s="148"/>
      <c r="D34" s="101" t="s">
        <v>2</v>
      </c>
      <c r="E34" s="25" t="s">
        <v>0</v>
      </c>
      <c r="F34" s="57">
        <f t="shared" ref="F34:Q34" si="2">F$36*($D20/($D$20+$D$21))</f>
        <v>87.2</v>
      </c>
      <c r="G34" s="26">
        <f t="shared" si="2"/>
        <v>72.400000000000006</v>
      </c>
      <c r="H34" s="26">
        <f t="shared" si="2"/>
        <v>86.4</v>
      </c>
      <c r="I34" s="26">
        <f t="shared" si="2"/>
        <v>122.4</v>
      </c>
      <c r="J34" s="26">
        <f t="shared" si="2"/>
        <v>138.4</v>
      </c>
      <c r="K34" s="26">
        <f t="shared" si="2"/>
        <v>122.4</v>
      </c>
      <c r="L34" s="26">
        <f t="shared" si="2"/>
        <v>95.2</v>
      </c>
      <c r="M34" s="26">
        <f t="shared" si="2"/>
        <v>86.800000000000011</v>
      </c>
      <c r="N34" s="26">
        <f t="shared" si="2"/>
        <v>86</v>
      </c>
      <c r="O34" s="26">
        <f t="shared" si="2"/>
        <v>137.6</v>
      </c>
      <c r="P34" s="26">
        <f t="shared" si="2"/>
        <v>100</v>
      </c>
      <c r="Q34" s="26">
        <f t="shared" si="2"/>
        <v>128</v>
      </c>
      <c r="R34" s="25">
        <f t="shared" ref="R34:R59" si="3">SUM(F34:Q34)</f>
        <v>1262.8</v>
      </c>
    </row>
    <row r="35" spans="2:18" x14ac:dyDescent="0.4">
      <c r="B35" s="184"/>
      <c r="C35" s="148"/>
      <c r="D35" s="101" t="s">
        <v>3</v>
      </c>
      <c r="E35" s="25" t="s">
        <v>0</v>
      </c>
      <c r="F35" s="57">
        <f t="shared" ref="F35:Q35" si="4">F$36*($D21/($D$20+$D$21))</f>
        <v>130.79999999999998</v>
      </c>
      <c r="G35" s="26">
        <f t="shared" si="4"/>
        <v>108.6</v>
      </c>
      <c r="H35" s="26">
        <f t="shared" si="4"/>
        <v>129.6</v>
      </c>
      <c r="I35" s="26">
        <f t="shared" si="4"/>
        <v>183.6</v>
      </c>
      <c r="J35" s="26">
        <f t="shared" si="4"/>
        <v>207.6</v>
      </c>
      <c r="K35" s="26">
        <f t="shared" si="4"/>
        <v>183.6</v>
      </c>
      <c r="L35" s="26">
        <f t="shared" si="4"/>
        <v>142.79999999999998</v>
      </c>
      <c r="M35" s="26">
        <f t="shared" si="4"/>
        <v>130.19999999999999</v>
      </c>
      <c r="N35" s="26">
        <f t="shared" si="4"/>
        <v>129</v>
      </c>
      <c r="O35" s="26">
        <f t="shared" si="4"/>
        <v>206.4</v>
      </c>
      <c r="P35" s="26">
        <f t="shared" si="4"/>
        <v>150</v>
      </c>
      <c r="Q35" s="26">
        <f t="shared" si="4"/>
        <v>192</v>
      </c>
      <c r="R35" s="25">
        <f t="shared" si="3"/>
        <v>1894.2000000000003</v>
      </c>
    </row>
    <row r="36" spans="2:18" x14ac:dyDescent="0.4">
      <c r="B36" s="184"/>
      <c r="C36" s="145" t="s">
        <v>107</v>
      </c>
      <c r="D36" s="101" t="s">
        <v>1</v>
      </c>
      <c r="E36" s="25" t="s">
        <v>0</v>
      </c>
      <c r="F36" s="57">
        <f t="shared" ref="F36:Q36" si="5">F33*$D$25</f>
        <v>218</v>
      </c>
      <c r="G36" s="26">
        <f t="shared" si="5"/>
        <v>181</v>
      </c>
      <c r="H36" s="26">
        <f t="shared" si="5"/>
        <v>216</v>
      </c>
      <c r="I36" s="26">
        <f t="shared" si="5"/>
        <v>306</v>
      </c>
      <c r="J36" s="26">
        <f t="shared" si="5"/>
        <v>346</v>
      </c>
      <c r="K36" s="26">
        <f t="shared" si="5"/>
        <v>306</v>
      </c>
      <c r="L36" s="26">
        <f t="shared" si="5"/>
        <v>238</v>
      </c>
      <c r="M36" s="26">
        <f t="shared" si="5"/>
        <v>217</v>
      </c>
      <c r="N36" s="26">
        <f t="shared" si="5"/>
        <v>215</v>
      </c>
      <c r="O36" s="26">
        <f t="shared" si="5"/>
        <v>344</v>
      </c>
      <c r="P36" s="26">
        <f t="shared" si="5"/>
        <v>250</v>
      </c>
      <c r="Q36" s="26">
        <f t="shared" si="5"/>
        <v>320</v>
      </c>
      <c r="R36" s="25">
        <f t="shared" si="3"/>
        <v>3157</v>
      </c>
    </row>
    <row r="37" spans="2:18" x14ac:dyDescent="0.4">
      <c r="B37" s="184"/>
      <c r="C37" s="146"/>
      <c r="D37" s="101" t="s">
        <v>2</v>
      </c>
      <c r="E37" s="25" t="s">
        <v>0</v>
      </c>
      <c r="F37" s="57">
        <f t="shared" ref="F37:Q37" si="6">F$36*($D20/($D$20+$D$21))</f>
        <v>87.2</v>
      </c>
      <c r="G37" s="26">
        <f t="shared" si="6"/>
        <v>72.400000000000006</v>
      </c>
      <c r="H37" s="26">
        <f t="shared" si="6"/>
        <v>86.4</v>
      </c>
      <c r="I37" s="26">
        <f t="shared" si="6"/>
        <v>122.4</v>
      </c>
      <c r="J37" s="26">
        <f t="shared" si="6"/>
        <v>138.4</v>
      </c>
      <c r="K37" s="26">
        <f t="shared" si="6"/>
        <v>122.4</v>
      </c>
      <c r="L37" s="26">
        <f t="shared" si="6"/>
        <v>95.2</v>
      </c>
      <c r="M37" s="26">
        <f t="shared" si="6"/>
        <v>86.800000000000011</v>
      </c>
      <c r="N37" s="26">
        <f t="shared" si="6"/>
        <v>86</v>
      </c>
      <c r="O37" s="26">
        <f t="shared" si="6"/>
        <v>137.6</v>
      </c>
      <c r="P37" s="26">
        <f t="shared" si="6"/>
        <v>100</v>
      </c>
      <c r="Q37" s="26">
        <f t="shared" si="6"/>
        <v>128</v>
      </c>
      <c r="R37" s="25">
        <f t="shared" si="3"/>
        <v>1262.8</v>
      </c>
    </row>
    <row r="38" spans="2:18" x14ac:dyDescent="0.4">
      <c r="B38" s="184"/>
      <c r="C38" s="147"/>
      <c r="D38" s="101" t="s">
        <v>3</v>
      </c>
      <c r="E38" s="25" t="s">
        <v>0</v>
      </c>
      <c r="F38" s="57">
        <f t="shared" ref="F38:Q38" si="7">F$36*($D21/($D$20+$D$21))</f>
        <v>130.79999999999998</v>
      </c>
      <c r="G38" s="26">
        <f t="shared" si="7"/>
        <v>108.6</v>
      </c>
      <c r="H38" s="26">
        <f t="shared" si="7"/>
        <v>129.6</v>
      </c>
      <c r="I38" s="26">
        <f t="shared" si="7"/>
        <v>183.6</v>
      </c>
      <c r="J38" s="26">
        <f t="shared" si="7"/>
        <v>207.6</v>
      </c>
      <c r="K38" s="26">
        <f t="shared" si="7"/>
        <v>183.6</v>
      </c>
      <c r="L38" s="26">
        <f t="shared" si="7"/>
        <v>142.79999999999998</v>
      </c>
      <c r="M38" s="26">
        <f t="shared" si="7"/>
        <v>130.19999999999999</v>
      </c>
      <c r="N38" s="26">
        <f t="shared" si="7"/>
        <v>129</v>
      </c>
      <c r="O38" s="26">
        <f t="shared" si="7"/>
        <v>206.4</v>
      </c>
      <c r="P38" s="26">
        <f t="shared" si="7"/>
        <v>150</v>
      </c>
      <c r="Q38" s="26">
        <f t="shared" si="7"/>
        <v>192</v>
      </c>
      <c r="R38" s="25">
        <f t="shared" si="3"/>
        <v>1894.2000000000003</v>
      </c>
    </row>
    <row r="39" spans="2:18" x14ac:dyDescent="0.4">
      <c r="B39" s="184"/>
      <c r="C39" s="148" t="s">
        <v>108</v>
      </c>
      <c r="D39" s="101" t="s">
        <v>1</v>
      </c>
      <c r="E39" s="25" t="s">
        <v>0</v>
      </c>
      <c r="F39" s="54">
        <f t="shared" ref="F39:Q39" si="8">F36/_xlfn.DAYS(F$28,E$28)</f>
        <v>7.032258064516129</v>
      </c>
      <c r="G39" s="27">
        <f t="shared" si="8"/>
        <v>6.0333333333333332</v>
      </c>
      <c r="H39" s="27">
        <f t="shared" si="8"/>
        <v>6.967741935483871</v>
      </c>
      <c r="I39" s="27">
        <f t="shared" si="8"/>
        <v>10.199999999999999</v>
      </c>
      <c r="J39" s="27">
        <f t="shared" si="8"/>
        <v>11.161290322580646</v>
      </c>
      <c r="K39" s="27">
        <f t="shared" si="8"/>
        <v>9.870967741935484</v>
      </c>
      <c r="L39" s="27">
        <f t="shared" si="8"/>
        <v>7.9333333333333336</v>
      </c>
      <c r="M39" s="27">
        <f t="shared" si="8"/>
        <v>7</v>
      </c>
      <c r="N39" s="27">
        <f t="shared" si="8"/>
        <v>7.166666666666667</v>
      </c>
      <c r="O39" s="27">
        <f t="shared" si="8"/>
        <v>11.096774193548388</v>
      </c>
      <c r="P39" s="27">
        <f t="shared" si="8"/>
        <v>8.064516129032258</v>
      </c>
      <c r="Q39" s="27">
        <f t="shared" si="8"/>
        <v>11.428571428571429</v>
      </c>
      <c r="R39" s="25">
        <f t="shared" si="3"/>
        <v>103.95545314900154</v>
      </c>
    </row>
    <row r="40" spans="2:18" x14ac:dyDescent="0.4">
      <c r="B40" s="184"/>
      <c r="C40" s="148"/>
      <c r="D40" s="101" t="s">
        <v>2</v>
      </c>
      <c r="E40" s="25" t="s">
        <v>0</v>
      </c>
      <c r="F40" s="54">
        <f t="shared" ref="F40:Q40" si="9">F37/_xlfn.DAYS(F$28,E$28)</f>
        <v>2.8129032258064517</v>
      </c>
      <c r="G40" s="27">
        <f t="shared" si="9"/>
        <v>2.4133333333333336</v>
      </c>
      <c r="H40" s="27">
        <f t="shared" si="9"/>
        <v>2.7870967741935484</v>
      </c>
      <c r="I40" s="27">
        <f t="shared" si="9"/>
        <v>4.08</v>
      </c>
      <c r="J40" s="27">
        <f t="shared" si="9"/>
        <v>4.4645161290322584</v>
      </c>
      <c r="K40" s="27">
        <f t="shared" si="9"/>
        <v>3.9483870967741939</v>
      </c>
      <c r="L40" s="27">
        <f t="shared" si="9"/>
        <v>3.1733333333333333</v>
      </c>
      <c r="M40" s="27">
        <f t="shared" si="9"/>
        <v>2.8000000000000003</v>
      </c>
      <c r="N40" s="27">
        <f t="shared" si="9"/>
        <v>2.8666666666666667</v>
      </c>
      <c r="O40" s="27">
        <f t="shared" si="9"/>
        <v>4.4387096774193546</v>
      </c>
      <c r="P40" s="27">
        <f t="shared" si="9"/>
        <v>3.225806451612903</v>
      </c>
      <c r="Q40" s="27">
        <f t="shared" si="9"/>
        <v>4.5714285714285712</v>
      </c>
      <c r="R40" s="25">
        <f t="shared" si="3"/>
        <v>41.582181259600617</v>
      </c>
    </row>
    <row r="41" spans="2:18" x14ac:dyDescent="0.4">
      <c r="B41" s="184"/>
      <c r="C41" s="148"/>
      <c r="D41" s="101" t="s">
        <v>3</v>
      </c>
      <c r="E41" s="25" t="s">
        <v>0</v>
      </c>
      <c r="F41" s="54">
        <f t="shared" ref="F41:Q41" si="10">F38/_xlfn.DAYS(F$28,E$28)</f>
        <v>4.2193548387096769</v>
      </c>
      <c r="G41" s="27">
        <f t="shared" si="10"/>
        <v>3.6199999999999997</v>
      </c>
      <c r="H41" s="27">
        <f t="shared" si="10"/>
        <v>4.1806451612903226</v>
      </c>
      <c r="I41" s="27">
        <f t="shared" si="10"/>
        <v>6.12</v>
      </c>
      <c r="J41" s="27">
        <f t="shared" si="10"/>
        <v>6.6967741935483867</v>
      </c>
      <c r="K41" s="27">
        <f t="shared" si="10"/>
        <v>5.9225806451612906</v>
      </c>
      <c r="L41" s="27">
        <f t="shared" si="10"/>
        <v>4.76</v>
      </c>
      <c r="M41" s="27">
        <f t="shared" si="10"/>
        <v>4.1999999999999993</v>
      </c>
      <c r="N41" s="27">
        <f t="shared" si="10"/>
        <v>4.3</v>
      </c>
      <c r="O41" s="27">
        <f t="shared" si="10"/>
        <v>6.6580645161290324</v>
      </c>
      <c r="P41" s="27">
        <f t="shared" si="10"/>
        <v>4.838709677419355</v>
      </c>
      <c r="Q41" s="27">
        <f t="shared" si="10"/>
        <v>6.8571428571428568</v>
      </c>
      <c r="R41" s="25">
        <f t="shared" si="3"/>
        <v>62.373271889400911</v>
      </c>
    </row>
    <row r="42" spans="2:18" x14ac:dyDescent="0.4">
      <c r="B42" s="184"/>
      <c r="C42" s="148" t="s">
        <v>105</v>
      </c>
      <c r="D42" s="101" t="str">
        <f>F11&amp;G11&amp;H11&amp;I11</f>
        <v>0~120kWh</v>
      </c>
      <c r="E42" s="25" t="s">
        <v>0</v>
      </c>
      <c r="F42" s="57">
        <f t="shared" ref="F42:Q42" si="11">IF(F36&gt;=$H$11,$H$11,F36)</f>
        <v>120</v>
      </c>
      <c r="G42" s="26">
        <f t="shared" si="11"/>
        <v>120</v>
      </c>
      <c r="H42" s="26">
        <f t="shared" si="11"/>
        <v>120</v>
      </c>
      <c r="I42" s="26">
        <f t="shared" si="11"/>
        <v>120</v>
      </c>
      <c r="J42" s="26">
        <f t="shared" si="11"/>
        <v>120</v>
      </c>
      <c r="K42" s="26">
        <f t="shared" si="11"/>
        <v>120</v>
      </c>
      <c r="L42" s="26">
        <f t="shared" si="11"/>
        <v>120</v>
      </c>
      <c r="M42" s="26">
        <f t="shared" si="11"/>
        <v>120</v>
      </c>
      <c r="N42" s="26">
        <f t="shared" si="11"/>
        <v>120</v>
      </c>
      <c r="O42" s="26">
        <f t="shared" si="11"/>
        <v>120</v>
      </c>
      <c r="P42" s="26">
        <f t="shared" si="11"/>
        <v>120</v>
      </c>
      <c r="Q42" s="26">
        <f t="shared" si="11"/>
        <v>120</v>
      </c>
      <c r="R42" s="25">
        <f t="shared" si="3"/>
        <v>1440</v>
      </c>
    </row>
    <row r="43" spans="2:18" x14ac:dyDescent="0.4">
      <c r="B43" s="184"/>
      <c r="C43" s="148"/>
      <c r="D43" s="101" t="str">
        <f>F12&amp;G12&amp;H12&amp;I12</f>
        <v>120~300kWh</v>
      </c>
      <c r="E43" s="25" t="s">
        <v>0</v>
      </c>
      <c r="F43" s="57">
        <f t="shared" ref="F43:Q43" si="12">IF(IF(F36&lt;=$H$11,0,F36-$H$11)&gt;=$H$12-$H$11,$H$12-$H$11,F36-$H$11)</f>
        <v>98</v>
      </c>
      <c r="G43" s="26">
        <f t="shared" si="12"/>
        <v>61</v>
      </c>
      <c r="H43" s="26">
        <f t="shared" si="12"/>
        <v>96</v>
      </c>
      <c r="I43" s="26">
        <f t="shared" si="12"/>
        <v>180</v>
      </c>
      <c r="J43" s="26">
        <f t="shared" si="12"/>
        <v>180</v>
      </c>
      <c r="K43" s="26">
        <f t="shared" si="12"/>
        <v>180</v>
      </c>
      <c r="L43" s="26">
        <f t="shared" si="12"/>
        <v>118</v>
      </c>
      <c r="M43" s="26">
        <f t="shared" si="12"/>
        <v>97</v>
      </c>
      <c r="N43" s="26">
        <f t="shared" si="12"/>
        <v>95</v>
      </c>
      <c r="O43" s="26">
        <f t="shared" si="12"/>
        <v>180</v>
      </c>
      <c r="P43" s="26">
        <f t="shared" si="12"/>
        <v>130</v>
      </c>
      <c r="Q43" s="26">
        <f t="shared" si="12"/>
        <v>180</v>
      </c>
      <c r="R43" s="25">
        <f t="shared" si="3"/>
        <v>1595</v>
      </c>
    </row>
    <row r="44" spans="2:18" x14ac:dyDescent="0.4">
      <c r="B44" s="184"/>
      <c r="C44" s="148"/>
      <c r="D44" s="101" t="str">
        <f>F13&amp;H13&amp;I13&amp;"以上"</f>
        <v>300kWh以上</v>
      </c>
      <c r="E44" s="25" t="s">
        <v>0</v>
      </c>
      <c r="F44" s="57">
        <f t="shared" ref="F44:Q44" si="13">IF(F36&lt;=$H$12,0,F36-F42-F43)</f>
        <v>0</v>
      </c>
      <c r="G44" s="26">
        <f t="shared" si="13"/>
        <v>0</v>
      </c>
      <c r="H44" s="26">
        <f t="shared" si="13"/>
        <v>0</v>
      </c>
      <c r="I44" s="26">
        <f t="shared" si="13"/>
        <v>6</v>
      </c>
      <c r="J44" s="26">
        <f t="shared" si="13"/>
        <v>46</v>
      </c>
      <c r="K44" s="26">
        <f t="shared" si="13"/>
        <v>6</v>
      </c>
      <c r="L44" s="26">
        <f t="shared" si="13"/>
        <v>0</v>
      </c>
      <c r="M44" s="26">
        <f t="shared" si="13"/>
        <v>0</v>
      </c>
      <c r="N44" s="26">
        <f t="shared" si="13"/>
        <v>0</v>
      </c>
      <c r="O44" s="26">
        <f t="shared" si="13"/>
        <v>44</v>
      </c>
      <c r="P44" s="26">
        <f t="shared" si="13"/>
        <v>0</v>
      </c>
      <c r="Q44" s="26">
        <f t="shared" si="13"/>
        <v>20</v>
      </c>
      <c r="R44" s="25">
        <f t="shared" si="3"/>
        <v>122</v>
      </c>
    </row>
    <row r="45" spans="2:18" x14ac:dyDescent="0.4">
      <c r="B45" s="184"/>
      <c r="C45" s="148" t="s">
        <v>20</v>
      </c>
      <c r="D45" s="101" t="s">
        <v>1</v>
      </c>
      <c r="E45" s="25" t="s">
        <v>6</v>
      </c>
      <c r="F45" s="58">
        <f t="shared" ref="F45:Q45" si="14">F42*$D$11+F43*$D$12+F44*$D$13</f>
        <v>7034.9</v>
      </c>
      <c r="G45" s="29">
        <f t="shared" si="14"/>
        <v>5738.0499999999993</v>
      </c>
      <c r="H45" s="29">
        <f t="shared" si="14"/>
        <v>6964.7999999999993</v>
      </c>
      <c r="I45" s="29">
        <f t="shared" si="14"/>
        <v>10131.6</v>
      </c>
      <c r="J45" s="29">
        <f t="shared" si="14"/>
        <v>11615.6</v>
      </c>
      <c r="K45" s="29">
        <f t="shared" si="14"/>
        <v>10131.6</v>
      </c>
      <c r="L45" s="29">
        <f t="shared" si="14"/>
        <v>7735.9</v>
      </c>
      <c r="M45" s="29">
        <f t="shared" si="14"/>
        <v>6999.85</v>
      </c>
      <c r="N45" s="29">
        <f t="shared" si="14"/>
        <v>6929.75</v>
      </c>
      <c r="O45" s="29">
        <f t="shared" si="14"/>
        <v>11541.4</v>
      </c>
      <c r="P45" s="29">
        <f t="shared" si="14"/>
        <v>8156.5</v>
      </c>
      <c r="Q45" s="29">
        <f t="shared" si="14"/>
        <v>10651</v>
      </c>
      <c r="R45" s="30">
        <f>SUM(F45:Q45)</f>
        <v>103630.95</v>
      </c>
    </row>
    <row r="46" spans="2:18" x14ac:dyDescent="0.4">
      <c r="B46" s="184"/>
      <c r="C46" s="148"/>
      <c r="D46" s="101" t="s">
        <v>2</v>
      </c>
      <c r="E46" s="25" t="s">
        <v>6</v>
      </c>
      <c r="F46" s="57">
        <f t="shared" ref="F46:Q46" si="15">F$45*($D20/($D$20+$D$21))</f>
        <v>2813.96</v>
      </c>
      <c r="G46" s="26">
        <f t="shared" si="15"/>
        <v>2295.2199999999998</v>
      </c>
      <c r="H46" s="26">
        <f t="shared" si="15"/>
        <v>2785.92</v>
      </c>
      <c r="I46" s="26">
        <f t="shared" si="15"/>
        <v>4052.6400000000003</v>
      </c>
      <c r="J46" s="26">
        <f t="shared" si="15"/>
        <v>4646.2400000000007</v>
      </c>
      <c r="K46" s="26">
        <f t="shared" si="15"/>
        <v>4052.6400000000003</v>
      </c>
      <c r="L46" s="26">
        <f t="shared" si="15"/>
        <v>3094.36</v>
      </c>
      <c r="M46" s="26">
        <f t="shared" si="15"/>
        <v>2799.9400000000005</v>
      </c>
      <c r="N46" s="26">
        <f t="shared" si="15"/>
        <v>2771.9</v>
      </c>
      <c r="O46" s="26">
        <f t="shared" si="15"/>
        <v>4616.5600000000004</v>
      </c>
      <c r="P46" s="26">
        <f t="shared" si="15"/>
        <v>3262.6000000000004</v>
      </c>
      <c r="Q46" s="26">
        <f t="shared" si="15"/>
        <v>4260.4000000000005</v>
      </c>
      <c r="R46" s="25">
        <f t="shared" si="3"/>
        <v>41452.380000000005</v>
      </c>
    </row>
    <row r="47" spans="2:18" x14ac:dyDescent="0.4">
      <c r="B47" s="185"/>
      <c r="C47" s="145"/>
      <c r="D47" s="104" t="s">
        <v>3</v>
      </c>
      <c r="E47" s="45" t="s">
        <v>6</v>
      </c>
      <c r="F47" s="59">
        <f t="shared" ref="F47:Q47" si="16">F$45*($D21/($D$20+$D$21))</f>
        <v>4220.9399999999996</v>
      </c>
      <c r="G47" s="44">
        <f t="shared" si="16"/>
        <v>3442.8299999999995</v>
      </c>
      <c r="H47" s="44">
        <f t="shared" si="16"/>
        <v>4178.8799999999992</v>
      </c>
      <c r="I47" s="44">
        <f t="shared" si="16"/>
        <v>6078.96</v>
      </c>
      <c r="J47" s="44">
        <f t="shared" si="16"/>
        <v>6969.36</v>
      </c>
      <c r="K47" s="44">
        <f t="shared" si="16"/>
        <v>6078.96</v>
      </c>
      <c r="L47" s="44">
        <f t="shared" si="16"/>
        <v>4641.54</v>
      </c>
      <c r="M47" s="44">
        <f t="shared" si="16"/>
        <v>4199.91</v>
      </c>
      <c r="N47" s="44">
        <f t="shared" si="16"/>
        <v>4157.8499999999995</v>
      </c>
      <c r="O47" s="44">
        <f t="shared" si="16"/>
        <v>6924.8399999999992</v>
      </c>
      <c r="P47" s="44">
        <f t="shared" si="16"/>
        <v>4893.8999999999996</v>
      </c>
      <c r="Q47" s="44">
        <f t="shared" si="16"/>
        <v>6390.5999999999995</v>
      </c>
      <c r="R47" s="45">
        <f t="shared" si="3"/>
        <v>62178.569999999985</v>
      </c>
    </row>
    <row r="48" spans="2:18" x14ac:dyDescent="0.4">
      <c r="B48" s="113" t="s">
        <v>103</v>
      </c>
      <c r="C48" s="118" t="s">
        <v>104</v>
      </c>
      <c r="D48" s="105" t="s">
        <v>8</v>
      </c>
      <c r="E48" s="23" t="s">
        <v>0</v>
      </c>
      <c r="F48" s="107">
        <v>556.2073324905183</v>
      </c>
      <c r="G48" s="108">
        <v>610.36662452591656</v>
      </c>
      <c r="H48" s="108">
        <v>509.78508217446267</v>
      </c>
      <c r="I48" s="108">
        <v>531.27686472819209</v>
      </c>
      <c r="J48" s="108">
        <v>569.96207332490519</v>
      </c>
      <c r="K48" s="108">
        <v>404.04551201011378</v>
      </c>
      <c r="L48" s="108">
        <v>371.37800252844505</v>
      </c>
      <c r="M48" s="108">
        <v>329.25410872313523</v>
      </c>
      <c r="N48" s="108">
        <v>318.93805309734518</v>
      </c>
      <c r="O48" s="108">
        <v>372.23767383059419</v>
      </c>
      <c r="P48" s="108">
        <v>400.60682680151706</v>
      </c>
      <c r="Q48" s="108">
        <v>487.43362831858406</v>
      </c>
      <c r="R48" s="109">
        <f t="shared" si="3"/>
        <v>5461.4917825537286</v>
      </c>
    </row>
    <row r="49" spans="2:18" x14ac:dyDescent="0.4">
      <c r="B49" s="114"/>
      <c r="C49" s="119"/>
      <c r="D49" s="101" t="s">
        <v>9</v>
      </c>
      <c r="E49" s="25" t="s">
        <v>0</v>
      </c>
      <c r="F49" s="60">
        <f t="shared" ref="F49:Q49" si="17">F48/_xlfn.DAYS(F28,E28)</f>
        <v>17.942172015823171</v>
      </c>
      <c r="G49" s="31">
        <f t="shared" si="17"/>
        <v>20.345554150863887</v>
      </c>
      <c r="H49" s="31">
        <f t="shared" si="17"/>
        <v>16.444680070143956</v>
      </c>
      <c r="I49" s="31">
        <f t="shared" si="17"/>
        <v>17.709228824273069</v>
      </c>
      <c r="J49" s="31">
        <f t="shared" si="17"/>
        <v>18.385873333061458</v>
      </c>
      <c r="K49" s="31">
        <f t="shared" si="17"/>
        <v>13.033726193874639</v>
      </c>
      <c r="L49" s="31">
        <f t="shared" si="17"/>
        <v>12.379266750948169</v>
      </c>
      <c r="M49" s="31">
        <f t="shared" si="17"/>
        <v>10.62110028139146</v>
      </c>
      <c r="N49" s="31">
        <f t="shared" si="17"/>
        <v>10.631268436578173</v>
      </c>
      <c r="O49" s="31">
        <f t="shared" si="17"/>
        <v>12.007666897761103</v>
      </c>
      <c r="P49" s="31">
        <f t="shared" si="17"/>
        <v>12.922800864565067</v>
      </c>
      <c r="Q49" s="31">
        <f t="shared" si="17"/>
        <v>17.408343868520859</v>
      </c>
      <c r="R49" s="25">
        <f t="shared" si="3"/>
        <v>179.831681687805</v>
      </c>
    </row>
    <row r="50" spans="2:18" ht="37.5" x14ac:dyDescent="0.4">
      <c r="B50" s="114"/>
      <c r="C50" s="95" t="s">
        <v>13</v>
      </c>
      <c r="D50" s="26" t="s">
        <v>9</v>
      </c>
      <c r="E50" s="25" t="s">
        <v>0</v>
      </c>
      <c r="F50" s="54">
        <f t="shared" ref="F50:Q50" si="18">F49-F40</f>
        <v>15.12926879001672</v>
      </c>
      <c r="G50" s="27">
        <f t="shared" si="18"/>
        <v>17.932220817530553</v>
      </c>
      <c r="H50" s="27">
        <f t="shared" si="18"/>
        <v>13.657583295950408</v>
      </c>
      <c r="I50" s="27">
        <f t="shared" si="18"/>
        <v>13.629228824273069</v>
      </c>
      <c r="J50" s="27">
        <f t="shared" si="18"/>
        <v>13.921357204029199</v>
      </c>
      <c r="K50" s="27">
        <f t="shared" si="18"/>
        <v>9.0853390971004444</v>
      </c>
      <c r="L50" s="27">
        <f t="shared" si="18"/>
        <v>9.2059334176148351</v>
      </c>
      <c r="M50" s="27">
        <f t="shared" si="18"/>
        <v>7.821100281391459</v>
      </c>
      <c r="N50" s="27">
        <f t="shared" si="18"/>
        <v>7.764601769911506</v>
      </c>
      <c r="O50" s="27">
        <f t="shared" si="18"/>
        <v>7.5689572203417486</v>
      </c>
      <c r="P50" s="27">
        <f t="shared" si="18"/>
        <v>9.696994412952165</v>
      </c>
      <c r="Q50" s="27">
        <f t="shared" si="18"/>
        <v>12.836915297092288</v>
      </c>
      <c r="R50" s="25">
        <f t="shared" si="3"/>
        <v>138.24950042820439</v>
      </c>
    </row>
    <row r="51" spans="2:18" x14ac:dyDescent="0.4">
      <c r="B51" s="114"/>
      <c r="C51" s="26" t="s">
        <v>11</v>
      </c>
      <c r="D51" s="26" t="s">
        <v>9</v>
      </c>
      <c r="E51" s="25" t="s">
        <v>0</v>
      </c>
      <c r="F51" s="54">
        <f t="shared" ref="F51:Q51" si="19">IF($D$15&lt;=F50,$D$15,F50)</f>
        <v>11.4</v>
      </c>
      <c r="G51" s="27">
        <f t="shared" si="19"/>
        <v>11.4</v>
      </c>
      <c r="H51" s="27">
        <f t="shared" si="19"/>
        <v>11.4</v>
      </c>
      <c r="I51" s="27">
        <f t="shared" si="19"/>
        <v>11.4</v>
      </c>
      <c r="J51" s="27">
        <f t="shared" si="19"/>
        <v>11.4</v>
      </c>
      <c r="K51" s="27">
        <f t="shared" si="19"/>
        <v>9.0853390971004444</v>
      </c>
      <c r="L51" s="27">
        <f t="shared" si="19"/>
        <v>9.2059334176148351</v>
      </c>
      <c r="M51" s="27">
        <f t="shared" si="19"/>
        <v>7.821100281391459</v>
      </c>
      <c r="N51" s="27">
        <f t="shared" si="19"/>
        <v>7.764601769911506</v>
      </c>
      <c r="O51" s="27">
        <f t="shared" si="19"/>
        <v>7.5689572203417486</v>
      </c>
      <c r="P51" s="27">
        <f t="shared" si="19"/>
        <v>9.696994412952165</v>
      </c>
      <c r="Q51" s="27">
        <f t="shared" si="19"/>
        <v>11.4</v>
      </c>
      <c r="R51" s="25">
        <f t="shared" si="3"/>
        <v>119.54292619931216</v>
      </c>
    </row>
    <row r="52" spans="2:18" x14ac:dyDescent="0.4">
      <c r="B52" s="114"/>
      <c r="C52" s="26" t="s">
        <v>12</v>
      </c>
      <c r="D52" s="26" t="s">
        <v>9</v>
      </c>
      <c r="E52" s="25" t="s">
        <v>0</v>
      </c>
      <c r="F52" s="54">
        <f>F50-F51</f>
        <v>3.7292687900167198</v>
      </c>
      <c r="G52" s="27">
        <f t="shared" ref="G52:Q52" si="20">G50-G51</f>
        <v>6.5322208175305523</v>
      </c>
      <c r="H52" s="27">
        <f t="shared" si="20"/>
        <v>2.2575832959504076</v>
      </c>
      <c r="I52" s="27">
        <f t="shared" si="20"/>
        <v>2.2292288242730685</v>
      </c>
      <c r="J52" s="27">
        <f t="shared" si="20"/>
        <v>2.5213572040291989</v>
      </c>
      <c r="K52" s="27">
        <f t="shared" si="20"/>
        <v>0</v>
      </c>
      <c r="L52" s="27">
        <f t="shared" si="20"/>
        <v>0</v>
      </c>
      <c r="M52" s="27">
        <f t="shared" si="20"/>
        <v>0</v>
      </c>
      <c r="N52" s="27">
        <f t="shared" si="20"/>
        <v>0</v>
      </c>
      <c r="O52" s="27">
        <f t="shared" si="20"/>
        <v>0</v>
      </c>
      <c r="P52" s="27">
        <f t="shared" si="20"/>
        <v>0</v>
      </c>
      <c r="Q52" s="27">
        <f t="shared" si="20"/>
        <v>1.4369152970922876</v>
      </c>
      <c r="R52" s="25">
        <f t="shared" si="3"/>
        <v>18.706574228892233</v>
      </c>
    </row>
    <row r="53" spans="2:18" x14ac:dyDescent="0.4">
      <c r="B53" s="114"/>
      <c r="C53" s="26" t="s">
        <v>61</v>
      </c>
      <c r="D53" s="26" t="s">
        <v>9</v>
      </c>
      <c r="E53" s="25" t="s">
        <v>0</v>
      </c>
      <c r="F53" s="54">
        <f>F41</f>
        <v>4.2193548387096769</v>
      </c>
      <c r="G53" s="27">
        <f t="shared" ref="G53:Q53" si="21">G41</f>
        <v>3.6199999999999997</v>
      </c>
      <c r="H53" s="27">
        <f t="shared" si="21"/>
        <v>4.1806451612903226</v>
      </c>
      <c r="I53" s="27">
        <f t="shared" si="21"/>
        <v>6.12</v>
      </c>
      <c r="J53" s="27">
        <f t="shared" si="21"/>
        <v>6.6967741935483867</v>
      </c>
      <c r="K53" s="27">
        <f t="shared" si="21"/>
        <v>5.9225806451612906</v>
      </c>
      <c r="L53" s="27">
        <f t="shared" si="21"/>
        <v>4.76</v>
      </c>
      <c r="M53" s="27">
        <f t="shared" si="21"/>
        <v>4.1999999999999993</v>
      </c>
      <c r="N53" s="27">
        <f t="shared" si="21"/>
        <v>4.3</v>
      </c>
      <c r="O53" s="27">
        <f>O41</f>
        <v>6.6580645161290324</v>
      </c>
      <c r="P53" s="27">
        <f t="shared" si="21"/>
        <v>4.838709677419355</v>
      </c>
      <c r="Q53" s="27">
        <f t="shared" si="21"/>
        <v>6.8571428571428568</v>
      </c>
      <c r="R53" s="25">
        <f t="shared" si="3"/>
        <v>62.373271889400911</v>
      </c>
    </row>
    <row r="54" spans="2:18" x14ac:dyDescent="0.4">
      <c r="B54" s="114"/>
      <c r="C54" s="26" t="s">
        <v>62</v>
      </c>
      <c r="D54" s="26" t="s">
        <v>9</v>
      </c>
      <c r="E54" s="25" t="s">
        <v>0</v>
      </c>
      <c r="F54" s="54">
        <f>IF(IF(F53&lt;F51,F53,F51)&gt;0,IF(F53&lt;F51,F53,F51),0)</f>
        <v>4.2193548387096769</v>
      </c>
      <c r="G54" s="27">
        <f t="shared" ref="G54:Q54" si="22">IF(IF(G53&lt;G51,G53,G51)&gt;0,IF(G53&lt;G51,G53,G51),0)</f>
        <v>3.6199999999999997</v>
      </c>
      <c r="H54" s="27">
        <f t="shared" si="22"/>
        <v>4.1806451612903226</v>
      </c>
      <c r="I54" s="27">
        <f t="shared" si="22"/>
        <v>6.12</v>
      </c>
      <c r="J54" s="27">
        <f t="shared" si="22"/>
        <v>6.6967741935483867</v>
      </c>
      <c r="K54" s="27">
        <f t="shared" si="22"/>
        <v>5.9225806451612906</v>
      </c>
      <c r="L54" s="27">
        <f t="shared" si="22"/>
        <v>4.76</v>
      </c>
      <c r="M54" s="27">
        <f t="shared" si="22"/>
        <v>4.1999999999999993</v>
      </c>
      <c r="N54" s="27">
        <f t="shared" si="22"/>
        <v>4.3</v>
      </c>
      <c r="O54" s="27">
        <f t="shared" si="22"/>
        <v>6.6580645161290324</v>
      </c>
      <c r="P54" s="27">
        <f t="shared" si="22"/>
        <v>4.838709677419355</v>
      </c>
      <c r="Q54" s="27">
        <f t="shared" si="22"/>
        <v>6.8571428571428568</v>
      </c>
      <c r="R54" s="25">
        <f t="shared" si="3"/>
        <v>62.373271889400911</v>
      </c>
    </row>
    <row r="55" spans="2:18" x14ac:dyDescent="0.4">
      <c r="B55" s="114"/>
      <c r="C55" s="26" t="s">
        <v>63</v>
      </c>
      <c r="D55" s="26" t="s">
        <v>64</v>
      </c>
      <c r="E55" s="25" t="s">
        <v>34</v>
      </c>
      <c r="F55" s="54">
        <f t="shared" ref="F55:Q55" si="23">IF($D$22*F32*(F54/F53)&gt;0,$D$22*F32*(F54/F53),0)</f>
        <v>1.6349999999999998</v>
      </c>
      <c r="G55" s="27">
        <f t="shared" si="23"/>
        <v>1.4925000000000004</v>
      </c>
      <c r="H55" s="27">
        <f t="shared" si="23"/>
        <v>1.4149999999999998</v>
      </c>
      <c r="I55" s="27">
        <f t="shared" si="23"/>
        <v>1.4500000000000002</v>
      </c>
      <c r="J55" s="27">
        <f t="shared" si="23"/>
        <v>1.5725000000000005</v>
      </c>
      <c r="K55" s="27">
        <f t="shared" si="23"/>
        <v>1.7399999999999995</v>
      </c>
      <c r="L55" s="27">
        <f t="shared" si="23"/>
        <v>1.9024999999999999</v>
      </c>
      <c r="M55" s="27">
        <f t="shared" si="23"/>
        <v>2.0575000000000001</v>
      </c>
      <c r="N55" s="27">
        <f t="shared" si="23"/>
        <v>2.1350000000000002</v>
      </c>
      <c r="O55" s="27">
        <f t="shared" si="23"/>
        <v>2.1</v>
      </c>
      <c r="P55" s="27">
        <f t="shared" si="23"/>
        <v>1.9675</v>
      </c>
      <c r="Q55" s="27">
        <f t="shared" si="23"/>
        <v>1.8075000000000001</v>
      </c>
      <c r="R55" s="25">
        <f t="shared" si="3"/>
        <v>21.275000000000002</v>
      </c>
    </row>
    <row r="56" spans="2:18" x14ac:dyDescent="0.4">
      <c r="B56" s="114"/>
      <c r="C56" s="26" t="s">
        <v>65</v>
      </c>
      <c r="D56" s="26" t="s">
        <v>64</v>
      </c>
      <c r="E56" s="25" t="s">
        <v>34</v>
      </c>
      <c r="F56" s="54">
        <f>F55+F53-F54</f>
        <v>1.6349999999999998</v>
      </c>
      <c r="G56" s="27">
        <f t="shared" ref="G56:Q56" si="24">G55+G53-G54</f>
        <v>1.4925000000000002</v>
      </c>
      <c r="H56" s="27">
        <f t="shared" si="24"/>
        <v>1.415</v>
      </c>
      <c r="I56" s="27">
        <f t="shared" si="24"/>
        <v>1.4500000000000002</v>
      </c>
      <c r="J56" s="27">
        <f t="shared" si="24"/>
        <v>1.5725000000000007</v>
      </c>
      <c r="K56" s="27">
        <f t="shared" si="24"/>
        <v>1.7399999999999993</v>
      </c>
      <c r="L56" s="27">
        <f t="shared" si="24"/>
        <v>1.9024999999999999</v>
      </c>
      <c r="M56" s="27">
        <f t="shared" si="24"/>
        <v>2.0575000000000001</v>
      </c>
      <c r="N56" s="27">
        <f t="shared" si="24"/>
        <v>2.1350000000000007</v>
      </c>
      <c r="O56" s="27">
        <f t="shared" si="24"/>
        <v>2.0999999999999996</v>
      </c>
      <c r="P56" s="27">
        <f t="shared" si="24"/>
        <v>1.9675000000000002</v>
      </c>
      <c r="Q56" s="27">
        <f t="shared" si="24"/>
        <v>1.8075000000000001</v>
      </c>
      <c r="R56" s="25">
        <f t="shared" si="3"/>
        <v>21.275000000000002</v>
      </c>
    </row>
    <row r="57" spans="2:18" x14ac:dyDescent="0.4">
      <c r="B57" s="114"/>
      <c r="C57" s="26" t="s">
        <v>60</v>
      </c>
      <c r="D57" s="26" t="s">
        <v>9</v>
      </c>
      <c r="E57" s="25" t="s">
        <v>0</v>
      </c>
      <c r="F57" s="54">
        <f>IF(F51-F53-F55&gt;=0,F51-F53-F55,0)</f>
        <v>5.5456451612903237</v>
      </c>
      <c r="G57" s="27">
        <f t="shared" ref="G57:Q57" si="25">IF(G51-G53-G55&gt;=0,G51-G53-G55,0)</f>
        <v>6.2875000000000005</v>
      </c>
      <c r="H57" s="27">
        <f t="shared" si="25"/>
        <v>5.8043548387096777</v>
      </c>
      <c r="I57" s="27">
        <f t="shared" si="25"/>
        <v>3.83</v>
      </c>
      <c r="J57" s="27">
        <f t="shared" si="25"/>
        <v>3.130725806451613</v>
      </c>
      <c r="K57" s="27">
        <f t="shared" si="25"/>
        <v>1.4227584519391543</v>
      </c>
      <c r="L57" s="27">
        <f t="shared" si="25"/>
        <v>2.5434334176148354</v>
      </c>
      <c r="M57" s="27">
        <f t="shared" si="25"/>
        <v>1.5636002813914596</v>
      </c>
      <c r="N57" s="27">
        <f t="shared" si="25"/>
        <v>1.3296017699115059</v>
      </c>
      <c r="O57" s="27">
        <f t="shared" si="25"/>
        <v>0</v>
      </c>
      <c r="P57" s="27">
        <f t="shared" si="25"/>
        <v>2.8907847355328098</v>
      </c>
      <c r="Q57" s="27">
        <f t="shared" si="25"/>
        <v>2.7353571428571435</v>
      </c>
      <c r="R57" s="25">
        <f t="shared" si="3"/>
        <v>37.083761605698527</v>
      </c>
    </row>
    <row r="58" spans="2:18" x14ac:dyDescent="0.4">
      <c r="B58" s="114"/>
      <c r="C58" s="120" t="s">
        <v>59</v>
      </c>
      <c r="D58" s="26" t="s">
        <v>58</v>
      </c>
      <c r="E58" s="25" t="s">
        <v>10</v>
      </c>
      <c r="F58" s="54">
        <f>F50-(F51-F57)</f>
        <v>9.2749139513070435</v>
      </c>
      <c r="G58" s="27">
        <f t="shared" ref="G58:Q58" si="26">G50-(G51-G57)</f>
        <v>12.819720817530552</v>
      </c>
      <c r="H58" s="27">
        <f t="shared" si="26"/>
        <v>8.0619381346600854</v>
      </c>
      <c r="I58" s="27">
        <f t="shared" si="26"/>
        <v>6.0592288242730685</v>
      </c>
      <c r="J58" s="27">
        <f t="shared" si="26"/>
        <v>5.652083010480812</v>
      </c>
      <c r="K58" s="27">
        <f t="shared" si="26"/>
        <v>1.4227584519391545</v>
      </c>
      <c r="L58" s="27">
        <f t="shared" si="26"/>
        <v>2.5434334176148354</v>
      </c>
      <c r="M58" s="27">
        <f t="shared" si="26"/>
        <v>1.5636002813914596</v>
      </c>
      <c r="N58" s="27">
        <f t="shared" si="26"/>
        <v>1.3296017699115055</v>
      </c>
      <c r="O58" s="27">
        <f t="shared" si="26"/>
        <v>0</v>
      </c>
      <c r="P58" s="27">
        <f t="shared" si="26"/>
        <v>2.8907847355328098</v>
      </c>
      <c r="Q58" s="27">
        <f t="shared" si="26"/>
        <v>4.1722724399494311</v>
      </c>
      <c r="R58" s="25">
        <f t="shared" si="3"/>
        <v>55.790335834590756</v>
      </c>
    </row>
    <row r="59" spans="2:18" x14ac:dyDescent="0.4">
      <c r="B59" s="114"/>
      <c r="C59" s="120"/>
      <c r="D59" s="32" t="s">
        <v>9</v>
      </c>
      <c r="E59" s="69" t="s">
        <v>15</v>
      </c>
      <c r="F59" s="61">
        <f>F58*$D$23</f>
        <v>148.3986232209127</v>
      </c>
      <c r="G59" s="33">
        <f t="shared" ref="G59:Q59" si="27">G58*$D$23</f>
        <v>205.11553308048883</v>
      </c>
      <c r="H59" s="33">
        <f t="shared" si="27"/>
        <v>128.99101015456137</v>
      </c>
      <c r="I59" s="33">
        <f t="shared" si="27"/>
        <v>96.947661188369096</v>
      </c>
      <c r="J59" s="33">
        <f t="shared" si="27"/>
        <v>90.433328167692991</v>
      </c>
      <c r="K59" s="33">
        <f t="shared" si="27"/>
        <v>22.764135231026472</v>
      </c>
      <c r="L59" s="33">
        <f t="shared" si="27"/>
        <v>40.694934681837367</v>
      </c>
      <c r="M59" s="33">
        <f t="shared" si="27"/>
        <v>25.017604502263353</v>
      </c>
      <c r="N59" s="33">
        <f t="shared" si="27"/>
        <v>21.273628318584088</v>
      </c>
      <c r="O59" s="33">
        <f t="shared" si="27"/>
        <v>0</v>
      </c>
      <c r="P59" s="33">
        <f t="shared" si="27"/>
        <v>46.252555768524957</v>
      </c>
      <c r="Q59" s="33">
        <f t="shared" si="27"/>
        <v>66.756359039190897</v>
      </c>
      <c r="R59" s="25">
        <f t="shared" si="3"/>
        <v>892.6453733534521</v>
      </c>
    </row>
    <row r="60" spans="2:18" x14ac:dyDescent="0.4">
      <c r="B60" s="114"/>
      <c r="C60" s="120"/>
      <c r="D60" s="29" t="s">
        <v>8</v>
      </c>
      <c r="E60" s="70" t="s">
        <v>15</v>
      </c>
      <c r="F60" s="62">
        <f t="shared" ref="F60:Q60" si="28">F59*_xlfn.DAYS(F28,E28)</f>
        <v>4600.3573198482936</v>
      </c>
      <c r="G60" s="34">
        <f t="shared" si="28"/>
        <v>6153.4659924146654</v>
      </c>
      <c r="H60" s="34">
        <f t="shared" si="28"/>
        <v>3998.7213147914022</v>
      </c>
      <c r="I60" s="34">
        <f t="shared" si="28"/>
        <v>2908.4298356510731</v>
      </c>
      <c r="J60" s="34">
        <f t="shared" si="28"/>
        <v>2803.4331731984826</v>
      </c>
      <c r="K60" s="34">
        <f t="shared" si="28"/>
        <v>705.68819216182067</v>
      </c>
      <c r="L60" s="34">
        <f t="shared" si="28"/>
        <v>1220.848040455121</v>
      </c>
      <c r="M60" s="34">
        <f t="shared" si="28"/>
        <v>775.54573957016396</v>
      </c>
      <c r="N60" s="34">
        <f t="shared" si="28"/>
        <v>638.20884955752263</v>
      </c>
      <c r="O60" s="34">
        <f t="shared" si="28"/>
        <v>0</v>
      </c>
      <c r="P60" s="34">
        <f t="shared" si="28"/>
        <v>1433.8292288242737</v>
      </c>
      <c r="Q60" s="34">
        <f t="shared" si="28"/>
        <v>1869.1780530973451</v>
      </c>
      <c r="R60" s="30">
        <f>SUM(F60:Q60)</f>
        <v>27107.705739570163</v>
      </c>
    </row>
    <row r="61" spans="2:18" x14ac:dyDescent="0.4">
      <c r="B61" s="114"/>
      <c r="C61" s="110" t="s">
        <v>66</v>
      </c>
      <c r="D61" s="35" t="s">
        <v>64</v>
      </c>
      <c r="E61" s="71" t="s">
        <v>34</v>
      </c>
      <c r="F61" s="63">
        <f>F56-IF(F50&lt;0,F50,0)</f>
        <v>1.6349999999999998</v>
      </c>
      <c r="G61" s="36">
        <f t="shared" ref="G61:Q61" si="29">G56-IF(G50&lt;0,G50,0)</f>
        <v>1.4925000000000002</v>
      </c>
      <c r="H61" s="36">
        <f t="shared" si="29"/>
        <v>1.415</v>
      </c>
      <c r="I61" s="36">
        <f>I56-IF(I50&lt;0,I50,0)</f>
        <v>1.4500000000000002</v>
      </c>
      <c r="J61" s="36">
        <f t="shared" si="29"/>
        <v>1.5725000000000007</v>
      </c>
      <c r="K61" s="36">
        <f>K56-IF(K50&lt;0,K50,0)</f>
        <v>1.7399999999999993</v>
      </c>
      <c r="L61" s="36">
        <f t="shared" si="29"/>
        <v>1.9024999999999999</v>
      </c>
      <c r="M61" s="36">
        <f t="shared" si="29"/>
        <v>2.0575000000000001</v>
      </c>
      <c r="N61" s="36">
        <f t="shared" si="29"/>
        <v>2.1350000000000007</v>
      </c>
      <c r="O61" s="36">
        <f t="shared" si="29"/>
        <v>2.0999999999999996</v>
      </c>
      <c r="P61" s="36">
        <f t="shared" si="29"/>
        <v>1.9675000000000002</v>
      </c>
      <c r="Q61" s="36">
        <f t="shared" si="29"/>
        <v>1.8075000000000001</v>
      </c>
      <c r="R61" s="30">
        <f>SUM(F61:Q61)/10000</f>
        <v>2.1275000000000001E-3</v>
      </c>
    </row>
    <row r="62" spans="2:18" x14ac:dyDescent="0.4">
      <c r="B62" s="114"/>
      <c r="C62" s="110"/>
      <c r="D62" s="35" t="s">
        <v>67</v>
      </c>
      <c r="E62" s="71" t="s">
        <v>34</v>
      </c>
      <c r="F62" s="63">
        <f t="shared" ref="F62:Q62" si="30">F61*_xlfn.DAYS(F28,E28)</f>
        <v>50.684999999999995</v>
      </c>
      <c r="G62" s="36">
        <f t="shared" si="30"/>
        <v>44.775000000000006</v>
      </c>
      <c r="H62" s="36">
        <f t="shared" si="30"/>
        <v>43.865000000000002</v>
      </c>
      <c r="I62" s="36">
        <f t="shared" si="30"/>
        <v>43.500000000000007</v>
      </c>
      <c r="J62" s="36">
        <f t="shared" si="30"/>
        <v>48.747500000000024</v>
      </c>
      <c r="K62" s="36">
        <f t="shared" si="30"/>
        <v>53.939999999999976</v>
      </c>
      <c r="L62" s="36">
        <f t="shared" si="30"/>
        <v>57.074999999999996</v>
      </c>
      <c r="M62" s="36">
        <f t="shared" si="30"/>
        <v>63.782500000000006</v>
      </c>
      <c r="N62" s="36">
        <f t="shared" si="30"/>
        <v>64.050000000000026</v>
      </c>
      <c r="O62" s="36">
        <f t="shared" si="30"/>
        <v>65.099999999999994</v>
      </c>
      <c r="P62" s="36">
        <f t="shared" si="30"/>
        <v>60.992500000000007</v>
      </c>
      <c r="Q62" s="36">
        <f t="shared" si="30"/>
        <v>50.61</v>
      </c>
      <c r="R62" s="30">
        <f>SUM(F62:Q62)/10000</f>
        <v>6.4712250000000013E-2</v>
      </c>
    </row>
    <row r="63" spans="2:18" x14ac:dyDescent="0.4">
      <c r="B63" s="114"/>
      <c r="C63" s="111" t="s">
        <v>20</v>
      </c>
      <c r="D63" s="26" t="str">
        <f>F11&amp;G11&amp;H11&amp;I11</f>
        <v>0~120kWh</v>
      </c>
      <c r="E63" s="25" t="s">
        <v>0</v>
      </c>
      <c r="F63" s="64">
        <f>MAX(IF(F62&gt;=$H$11,$H$11,F62),0)</f>
        <v>50.684999999999995</v>
      </c>
      <c r="G63" s="37">
        <f t="shared" ref="G63:Q63" si="31">MAX(IF(G62&gt;=$H$11,$H$11,G62),0)</f>
        <v>44.775000000000006</v>
      </c>
      <c r="H63" s="37">
        <f t="shared" si="31"/>
        <v>43.865000000000002</v>
      </c>
      <c r="I63" s="37">
        <f t="shared" si="31"/>
        <v>43.500000000000007</v>
      </c>
      <c r="J63" s="37">
        <f t="shared" si="31"/>
        <v>48.747500000000024</v>
      </c>
      <c r="K63" s="37">
        <f t="shared" si="31"/>
        <v>53.939999999999976</v>
      </c>
      <c r="L63" s="37">
        <f t="shared" si="31"/>
        <v>57.074999999999996</v>
      </c>
      <c r="M63" s="37">
        <f t="shared" si="31"/>
        <v>63.782500000000006</v>
      </c>
      <c r="N63" s="37">
        <f t="shared" si="31"/>
        <v>64.050000000000026</v>
      </c>
      <c r="O63" s="37">
        <f t="shared" si="31"/>
        <v>65.099999999999994</v>
      </c>
      <c r="P63" s="37">
        <f t="shared" si="31"/>
        <v>60.992500000000007</v>
      </c>
      <c r="Q63" s="37">
        <f t="shared" si="31"/>
        <v>50.61</v>
      </c>
      <c r="R63" s="25">
        <f t="shared" ref="R63:R67" si="32">SUM(F63:Q63)</f>
        <v>647.12250000000006</v>
      </c>
    </row>
    <row r="64" spans="2:18" x14ac:dyDescent="0.4">
      <c r="B64" s="114"/>
      <c r="C64" s="111"/>
      <c r="D64" s="26" t="str">
        <f>F12&amp;G12&amp;H12&amp;I12</f>
        <v>120~300kWh</v>
      </c>
      <c r="E64" s="25" t="s">
        <v>0</v>
      </c>
      <c r="F64" s="64">
        <f>MAX(IF(IF(F62&lt;=$H$11,0,F62-$H$11)&gt;=$H$12-$H$11,$H$12-$H$11,F62-$H$11),0)</f>
        <v>0</v>
      </c>
      <c r="G64" s="37">
        <f t="shared" ref="G64:Q64" si="33">MAX(IF(IF(G62&lt;=$H$11,0,G62-$H$11)&gt;=$H$12-$H$11,$H$12-$H$11,G62-$H$11),0)</f>
        <v>0</v>
      </c>
      <c r="H64" s="37">
        <f t="shared" si="33"/>
        <v>0</v>
      </c>
      <c r="I64" s="37">
        <f t="shared" si="33"/>
        <v>0</v>
      </c>
      <c r="J64" s="37">
        <f t="shared" si="33"/>
        <v>0</v>
      </c>
      <c r="K64" s="37">
        <f t="shared" si="33"/>
        <v>0</v>
      </c>
      <c r="L64" s="37">
        <f t="shared" si="33"/>
        <v>0</v>
      </c>
      <c r="M64" s="37">
        <f t="shared" si="33"/>
        <v>0</v>
      </c>
      <c r="N64" s="37">
        <f t="shared" si="33"/>
        <v>0</v>
      </c>
      <c r="O64" s="37">
        <f t="shared" si="33"/>
        <v>0</v>
      </c>
      <c r="P64" s="37">
        <f t="shared" si="33"/>
        <v>0</v>
      </c>
      <c r="Q64" s="37">
        <f t="shared" si="33"/>
        <v>0</v>
      </c>
      <c r="R64" s="25">
        <f t="shared" si="32"/>
        <v>0</v>
      </c>
    </row>
    <row r="65" spans="1:18" x14ac:dyDescent="0.4">
      <c r="B65" s="114"/>
      <c r="C65" s="111"/>
      <c r="D65" s="26" t="str">
        <f>F13&amp;H13&amp;I13&amp;"以上"</f>
        <v>300kWh以上</v>
      </c>
      <c r="E65" s="25" t="s">
        <v>0</v>
      </c>
      <c r="F65" s="64">
        <f>MAX(IF(F62&lt;=$H$12,0,F62-F63-F64),0)</f>
        <v>0</v>
      </c>
      <c r="G65" s="37">
        <f t="shared" ref="G65:Q65" si="34">MAX(IF(G62&lt;=$H$12,0,G62-G63-G64),0)</f>
        <v>0</v>
      </c>
      <c r="H65" s="37">
        <f t="shared" si="34"/>
        <v>0</v>
      </c>
      <c r="I65" s="37">
        <f>MAX(IF(I62&lt;=$H$12,0,I62-I63-I64),0)</f>
        <v>0</v>
      </c>
      <c r="J65" s="37">
        <f t="shared" si="34"/>
        <v>0</v>
      </c>
      <c r="K65" s="37">
        <f t="shared" si="34"/>
        <v>0</v>
      </c>
      <c r="L65" s="37">
        <f t="shared" si="34"/>
        <v>0</v>
      </c>
      <c r="M65" s="37">
        <f t="shared" si="34"/>
        <v>0</v>
      </c>
      <c r="N65" s="37">
        <f t="shared" si="34"/>
        <v>0</v>
      </c>
      <c r="O65" s="37">
        <f t="shared" si="34"/>
        <v>0</v>
      </c>
      <c r="P65" s="37">
        <f t="shared" si="34"/>
        <v>0</v>
      </c>
      <c r="Q65" s="37">
        <f t="shared" si="34"/>
        <v>0</v>
      </c>
      <c r="R65" s="25">
        <f t="shared" si="32"/>
        <v>0</v>
      </c>
    </row>
    <row r="66" spans="1:18" x14ac:dyDescent="0.4">
      <c r="B66" s="115"/>
      <c r="C66" s="112"/>
      <c r="D66" s="50" t="s">
        <v>68</v>
      </c>
      <c r="E66" s="72" t="s">
        <v>15</v>
      </c>
      <c r="F66" s="65">
        <f t="shared" ref="F66:Q66" si="35">F63*$D$11+F64*$D$12+F65*$D$13</f>
        <v>1520.55</v>
      </c>
      <c r="G66" s="50">
        <f t="shared" si="35"/>
        <v>1343.2500000000002</v>
      </c>
      <c r="H66" s="50">
        <f t="shared" si="35"/>
        <v>1315.95</v>
      </c>
      <c r="I66" s="50">
        <f t="shared" si="35"/>
        <v>1305.0000000000002</v>
      </c>
      <c r="J66" s="50">
        <f t="shared" si="35"/>
        <v>1462.4250000000006</v>
      </c>
      <c r="K66" s="50">
        <f t="shared" si="35"/>
        <v>1618.1999999999994</v>
      </c>
      <c r="L66" s="50">
        <f t="shared" si="35"/>
        <v>1712.2499999999998</v>
      </c>
      <c r="M66" s="50">
        <f t="shared" si="35"/>
        <v>1913.4750000000001</v>
      </c>
      <c r="N66" s="50">
        <f t="shared" si="35"/>
        <v>1921.5000000000007</v>
      </c>
      <c r="O66" s="50">
        <f t="shared" si="35"/>
        <v>1952.9999999999998</v>
      </c>
      <c r="P66" s="50">
        <f t="shared" si="35"/>
        <v>1829.7750000000001</v>
      </c>
      <c r="Q66" s="50">
        <f t="shared" si="35"/>
        <v>1518.3</v>
      </c>
      <c r="R66" s="51">
        <f>SUM(F66:Q66)</f>
        <v>19413.674999999999</v>
      </c>
    </row>
    <row r="67" spans="1:18" x14ac:dyDescent="0.4">
      <c r="B67" s="18" t="s">
        <v>49</v>
      </c>
      <c r="C67" s="19" t="s">
        <v>16</v>
      </c>
      <c r="D67" s="46" t="s">
        <v>8</v>
      </c>
      <c r="E67" s="48" t="s">
        <v>15</v>
      </c>
      <c r="F67" s="66">
        <f t="shared" ref="F67:Q67" si="36">F45-F66+F60</f>
        <v>10114.707319848294</v>
      </c>
      <c r="G67" s="47">
        <f t="shared" si="36"/>
        <v>10548.265992414665</v>
      </c>
      <c r="H67" s="47">
        <f t="shared" si="36"/>
        <v>9647.5713147914012</v>
      </c>
      <c r="I67" s="47">
        <f t="shared" si="36"/>
        <v>11735.029835651074</v>
      </c>
      <c r="J67" s="47">
        <f t="shared" si="36"/>
        <v>12956.608173198481</v>
      </c>
      <c r="K67" s="47">
        <f t="shared" si="36"/>
        <v>9219.088192161822</v>
      </c>
      <c r="L67" s="47">
        <f t="shared" si="36"/>
        <v>7244.4980404551206</v>
      </c>
      <c r="M67" s="47">
        <f t="shared" si="36"/>
        <v>5861.9207395701642</v>
      </c>
      <c r="N67" s="47">
        <f t="shared" si="36"/>
        <v>5646.4588495575217</v>
      </c>
      <c r="O67" s="47">
        <f t="shared" si="36"/>
        <v>9588.4</v>
      </c>
      <c r="P67" s="47">
        <f t="shared" si="36"/>
        <v>7760.5542288242741</v>
      </c>
      <c r="Q67" s="47">
        <f t="shared" si="36"/>
        <v>11001.878053097345</v>
      </c>
      <c r="R67" s="48">
        <f t="shared" si="32"/>
        <v>111324.98073957015</v>
      </c>
    </row>
    <row r="69" spans="1:18" x14ac:dyDescent="0.4">
      <c r="A69" t="s">
        <v>100</v>
      </c>
    </row>
    <row r="70" spans="1:18" x14ac:dyDescent="0.4">
      <c r="B70" t="s">
        <v>84</v>
      </c>
    </row>
    <row r="71" spans="1:18" x14ac:dyDescent="0.4">
      <c r="B71" t="s">
        <v>80</v>
      </c>
      <c r="C71" s="96">
        <f>D103-D104</f>
        <v>8.4217275000000011</v>
      </c>
      <c r="D71" t="s">
        <v>89</v>
      </c>
    </row>
    <row r="72" spans="1:18" x14ac:dyDescent="0.4">
      <c r="B72" t="s">
        <v>80</v>
      </c>
      <c r="C72" s="96">
        <f>D105</f>
        <v>2.7107705739570163</v>
      </c>
      <c r="D72" t="s">
        <v>85</v>
      </c>
    </row>
    <row r="73" spans="1:18" x14ac:dyDescent="0.4">
      <c r="B73" t="s">
        <v>86</v>
      </c>
      <c r="C73" s="96">
        <f>D106</f>
        <v>11.132498073957017</v>
      </c>
      <c r="D73" t="s">
        <v>87</v>
      </c>
    </row>
    <row r="74" spans="1:18" x14ac:dyDescent="0.4">
      <c r="B74" t="s">
        <v>78</v>
      </c>
      <c r="C74" s="97">
        <f>HLOOKUP(0,D101:W107,2,FALSE)</f>
        <v>8</v>
      </c>
      <c r="D74" t="s">
        <v>88</v>
      </c>
    </row>
    <row r="75" spans="1:18" x14ac:dyDescent="0.4">
      <c r="B75" t="s">
        <v>83</v>
      </c>
      <c r="C75" s="98">
        <f>ABS(M107)</f>
        <v>27.324980739570151</v>
      </c>
      <c r="D75" t="str">
        <f>IF(M107&lt;0,"万年の得をしています","万円の損をしています")</f>
        <v>万年の得をしています</v>
      </c>
    </row>
    <row r="76" spans="1:18" x14ac:dyDescent="0.4">
      <c r="B76" t="s">
        <v>82</v>
      </c>
      <c r="C76" s="98">
        <f>ABS(W107)</f>
        <v>125.09610860935521</v>
      </c>
      <c r="D76" t="str">
        <f>IF(W107&lt;0,"万年の得をしています","万円の損をしています")</f>
        <v>万年の得をしています</v>
      </c>
    </row>
    <row r="101" spans="1:24" x14ac:dyDescent="0.4">
      <c r="D101" s="94">
        <f>IF(D107&gt;0,D107,0)</f>
        <v>72.867501926042991</v>
      </c>
      <c r="E101" s="94">
        <f t="shared" ref="E101:W101" si="37">IF(E107&gt;0,E107,0)</f>
        <v>61.735003852085967</v>
      </c>
      <c r="F101" s="94">
        <f t="shared" si="37"/>
        <v>50.60250577812895</v>
      </c>
      <c r="G101" s="94">
        <f t="shared" si="37"/>
        <v>39.470007704171934</v>
      </c>
      <c r="H101" s="94">
        <f t="shared" si="37"/>
        <v>28.337509630214917</v>
      </c>
      <c r="I101" s="94">
        <f t="shared" si="37"/>
        <v>17.205011556257901</v>
      </c>
      <c r="J101" s="94">
        <f t="shared" si="37"/>
        <v>6.0725134823008773</v>
      </c>
      <c r="K101" s="94">
        <f t="shared" si="37"/>
        <v>0</v>
      </c>
      <c r="L101" s="94">
        <f t="shared" si="37"/>
        <v>0</v>
      </c>
      <c r="M101" s="94">
        <f t="shared" si="37"/>
        <v>0</v>
      </c>
      <c r="N101" s="94">
        <f t="shared" si="37"/>
        <v>0</v>
      </c>
      <c r="O101" s="94">
        <f t="shared" si="37"/>
        <v>0</v>
      </c>
      <c r="P101" s="94">
        <f t="shared" si="37"/>
        <v>0</v>
      </c>
      <c r="Q101" s="94">
        <f t="shared" si="37"/>
        <v>0</v>
      </c>
      <c r="R101" s="94">
        <f t="shared" si="37"/>
        <v>0</v>
      </c>
      <c r="S101" s="94">
        <f t="shared" si="37"/>
        <v>0</v>
      </c>
      <c r="T101" s="94">
        <f t="shared" si="37"/>
        <v>0</v>
      </c>
      <c r="U101" s="94">
        <f t="shared" si="37"/>
        <v>0</v>
      </c>
      <c r="V101" s="94">
        <f t="shared" si="37"/>
        <v>0</v>
      </c>
      <c r="W101" s="94">
        <f t="shared" si="37"/>
        <v>0</v>
      </c>
    </row>
    <row r="102" spans="1:24" x14ac:dyDescent="0.4">
      <c r="B102" s="178" t="s">
        <v>22</v>
      </c>
      <c r="C102" s="179"/>
      <c r="D102" s="5">
        <v>1</v>
      </c>
      <c r="E102" s="6">
        <f>D102+1</f>
        <v>2</v>
      </c>
      <c r="F102" s="6">
        <f t="shared" ref="F102:O102" si="38">E102+1</f>
        <v>3</v>
      </c>
      <c r="G102" s="6">
        <f t="shared" si="38"/>
        <v>4</v>
      </c>
      <c r="H102" s="6">
        <f t="shared" si="38"/>
        <v>5</v>
      </c>
      <c r="I102" s="6">
        <f t="shared" si="38"/>
        <v>6</v>
      </c>
      <c r="J102" s="6">
        <f t="shared" si="38"/>
        <v>7</v>
      </c>
      <c r="K102" s="6">
        <f t="shared" si="38"/>
        <v>8</v>
      </c>
      <c r="L102" s="6">
        <f t="shared" si="38"/>
        <v>9</v>
      </c>
      <c r="M102" s="6">
        <f t="shared" si="38"/>
        <v>10</v>
      </c>
      <c r="N102" s="6">
        <f t="shared" si="38"/>
        <v>11</v>
      </c>
      <c r="O102" s="6">
        <f t="shared" si="38"/>
        <v>12</v>
      </c>
      <c r="P102" s="6">
        <f>O102+1</f>
        <v>13</v>
      </c>
      <c r="Q102" s="6">
        <f t="shared" ref="Q102:R102" si="39">P102+1</f>
        <v>14</v>
      </c>
      <c r="R102" s="6">
        <f t="shared" si="39"/>
        <v>15</v>
      </c>
      <c r="S102" s="6">
        <f t="shared" ref="S102:W102" si="40">R102+1</f>
        <v>16</v>
      </c>
      <c r="T102" s="6">
        <f t="shared" si="40"/>
        <v>17</v>
      </c>
      <c r="U102" s="6">
        <f t="shared" si="40"/>
        <v>18</v>
      </c>
      <c r="V102" s="6">
        <f t="shared" si="40"/>
        <v>19</v>
      </c>
      <c r="W102" s="77">
        <f t="shared" si="40"/>
        <v>20</v>
      </c>
      <c r="X102" s="78"/>
    </row>
    <row r="103" spans="1:24" x14ac:dyDescent="0.4">
      <c r="B103" s="180" t="s">
        <v>23</v>
      </c>
      <c r="C103" s="181"/>
      <c r="D103" s="7">
        <f t="shared" ref="D103:W103" si="41">($R$45+$D$10*12)/10000</f>
        <v>12.134835000000001</v>
      </c>
      <c r="E103" s="8">
        <f t="shared" si="41"/>
        <v>12.134835000000001</v>
      </c>
      <c r="F103" s="8">
        <f t="shared" si="41"/>
        <v>12.134835000000001</v>
      </c>
      <c r="G103" s="8">
        <f t="shared" si="41"/>
        <v>12.134835000000001</v>
      </c>
      <c r="H103" s="8">
        <f t="shared" si="41"/>
        <v>12.134835000000001</v>
      </c>
      <c r="I103" s="8">
        <f t="shared" si="41"/>
        <v>12.134835000000001</v>
      </c>
      <c r="J103" s="8">
        <f t="shared" si="41"/>
        <v>12.134835000000001</v>
      </c>
      <c r="K103" s="8">
        <f t="shared" si="41"/>
        <v>12.134835000000001</v>
      </c>
      <c r="L103" s="8">
        <f t="shared" si="41"/>
        <v>12.134835000000001</v>
      </c>
      <c r="M103" s="8">
        <f t="shared" si="41"/>
        <v>12.134835000000001</v>
      </c>
      <c r="N103" s="8">
        <f t="shared" si="41"/>
        <v>12.134835000000001</v>
      </c>
      <c r="O103" s="8">
        <f t="shared" si="41"/>
        <v>12.134835000000001</v>
      </c>
      <c r="P103" s="8">
        <f t="shared" si="41"/>
        <v>12.134835000000001</v>
      </c>
      <c r="Q103" s="8">
        <f t="shared" si="41"/>
        <v>12.134835000000001</v>
      </c>
      <c r="R103" s="76">
        <f t="shared" si="41"/>
        <v>12.134835000000001</v>
      </c>
      <c r="S103" s="76">
        <f t="shared" si="41"/>
        <v>12.134835000000001</v>
      </c>
      <c r="T103" s="76">
        <f t="shared" si="41"/>
        <v>12.134835000000001</v>
      </c>
      <c r="U103" s="76">
        <f t="shared" si="41"/>
        <v>12.134835000000001</v>
      </c>
      <c r="V103" s="76">
        <f t="shared" si="41"/>
        <v>12.134835000000001</v>
      </c>
      <c r="W103" s="73">
        <f t="shared" si="41"/>
        <v>12.134835000000001</v>
      </c>
    </row>
    <row r="104" spans="1:24" x14ac:dyDescent="0.4">
      <c r="B104" s="170" t="s">
        <v>24</v>
      </c>
      <c r="C104" s="171"/>
      <c r="D104" s="9">
        <f t="shared" ref="D104:W104" si="42">($R$66+$D$10*12)/10000</f>
        <v>3.7131074999999996</v>
      </c>
      <c r="E104" s="10">
        <f t="shared" si="42"/>
        <v>3.7131074999999996</v>
      </c>
      <c r="F104" s="10">
        <f t="shared" si="42"/>
        <v>3.7131074999999996</v>
      </c>
      <c r="G104" s="10">
        <f t="shared" si="42"/>
        <v>3.7131074999999996</v>
      </c>
      <c r="H104" s="10">
        <f t="shared" si="42"/>
        <v>3.7131074999999996</v>
      </c>
      <c r="I104" s="10">
        <f t="shared" si="42"/>
        <v>3.7131074999999996</v>
      </c>
      <c r="J104" s="10">
        <f t="shared" si="42"/>
        <v>3.7131074999999996</v>
      </c>
      <c r="K104" s="10">
        <f t="shared" si="42"/>
        <v>3.7131074999999996</v>
      </c>
      <c r="L104" s="10">
        <f t="shared" si="42"/>
        <v>3.7131074999999996</v>
      </c>
      <c r="M104" s="10">
        <f t="shared" si="42"/>
        <v>3.7131074999999996</v>
      </c>
      <c r="N104" s="10">
        <f t="shared" si="42"/>
        <v>3.7131074999999996</v>
      </c>
      <c r="O104" s="10">
        <f t="shared" si="42"/>
        <v>3.7131074999999996</v>
      </c>
      <c r="P104" s="10">
        <f t="shared" si="42"/>
        <v>3.7131074999999996</v>
      </c>
      <c r="Q104" s="10">
        <f t="shared" si="42"/>
        <v>3.7131074999999996</v>
      </c>
      <c r="R104" s="10">
        <f t="shared" si="42"/>
        <v>3.7131074999999996</v>
      </c>
      <c r="S104" s="10">
        <f t="shared" si="42"/>
        <v>3.7131074999999996</v>
      </c>
      <c r="T104" s="10">
        <f t="shared" si="42"/>
        <v>3.7131074999999996</v>
      </c>
      <c r="U104" s="10">
        <f t="shared" si="42"/>
        <v>3.7131074999999996</v>
      </c>
      <c r="V104" s="10">
        <f t="shared" si="42"/>
        <v>3.7131074999999996</v>
      </c>
      <c r="W104" s="74">
        <f t="shared" si="42"/>
        <v>3.7131074999999996</v>
      </c>
    </row>
    <row r="105" spans="1:24" x14ac:dyDescent="0.4">
      <c r="B105" s="170" t="s">
        <v>25</v>
      </c>
      <c r="C105" s="171"/>
      <c r="D105" s="9">
        <f t="shared" ref="D105:M105" si="43">$R$60/10000</f>
        <v>2.7107705739570163</v>
      </c>
      <c r="E105" s="10">
        <f t="shared" si="43"/>
        <v>2.7107705739570163</v>
      </c>
      <c r="F105" s="10">
        <f t="shared" si="43"/>
        <v>2.7107705739570163</v>
      </c>
      <c r="G105" s="10">
        <f t="shared" si="43"/>
        <v>2.7107705739570163</v>
      </c>
      <c r="H105" s="10">
        <f t="shared" si="43"/>
        <v>2.7107705739570163</v>
      </c>
      <c r="I105" s="10">
        <f t="shared" si="43"/>
        <v>2.7107705739570163</v>
      </c>
      <c r="J105" s="10">
        <f t="shared" si="43"/>
        <v>2.7107705739570163</v>
      </c>
      <c r="K105" s="10">
        <f t="shared" si="43"/>
        <v>2.7107705739570163</v>
      </c>
      <c r="L105" s="10">
        <f t="shared" si="43"/>
        <v>2.7107705739570163</v>
      </c>
      <c r="M105" s="10">
        <f t="shared" si="43"/>
        <v>2.7107705739570163</v>
      </c>
      <c r="N105" s="10">
        <f t="shared" ref="N105:W105" si="44">$R$60/10000*$D$24/$D$23</f>
        <v>1.3553852869785081</v>
      </c>
      <c r="O105" s="10">
        <f t="shared" si="44"/>
        <v>1.3553852869785081</v>
      </c>
      <c r="P105" s="10">
        <f t="shared" si="44"/>
        <v>1.3553852869785081</v>
      </c>
      <c r="Q105" s="10">
        <f t="shared" si="44"/>
        <v>1.3553852869785081</v>
      </c>
      <c r="R105" s="10">
        <f t="shared" si="44"/>
        <v>1.3553852869785081</v>
      </c>
      <c r="S105" s="10">
        <f t="shared" si="44"/>
        <v>1.3553852869785081</v>
      </c>
      <c r="T105" s="10">
        <f t="shared" si="44"/>
        <v>1.3553852869785081</v>
      </c>
      <c r="U105" s="10">
        <f t="shared" si="44"/>
        <v>1.3553852869785081</v>
      </c>
      <c r="V105" s="10">
        <f t="shared" si="44"/>
        <v>1.3553852869785081</v>
      </c>
      <c r="W105" s="74">
        <f t="shared" si="44"/>
        <v>1.3553852869785081</v>
      </c>
    </row>
    <row r="106" spans="1:24" x14ac:dyDescent="0.4">
      <c r="B106" s="170" t="s">
        <v>26</v>
      </c>
      <c r="C106" s="171"/>
      <c r="D106" s="9">
        <f>D103-D104+D105</f>
        <v>11.132498073957017</v>
      </c>
      <c r="E106" s="10">
        <f t="shared" ref="E106:M106" si="45">E103-E104+E105</f>
        <v>11.132498073957017</v>
      </c>
      <c r="F106" s="10">
        <f t="shared" si="45"/>
        <v>11.132498073957017</v>
      </c>
      <c r="G106" s="10">
        <f t="shared" si="45"/>
        <v>11.132498073957017</v>
      </c>
      <c r="H106" s="10">
        <f t="shared" si="45"/>
        <v>11.132498073957017</v>
      </c>
      <c r="I106" s="10">
        <f t="shared" si="45"/>
        <v>11.132498073957017</v>
      </c>
      <c r="J106" s="10">
        <f t="shared" si="45"/>
        <v>11.132498073957017</v>
      </c>
      <c r="K106" s="10">
        <f t="shared" si="45"/>
        <v>11.132498073957017</v>
      </c>
      <c r="L106" s="10">
        <f t="shared" si="45"/>
        <v>11.132498073957017</v>
      </c>
      <c r="M106" s="10">
        <f t="shared" si="45"/>
        <v>11.132498073957017</v>
      </c>
      <c r="N106" s="10">
        <f t="shared" ref="N106" si="46">N103-N104+N105</f>
        <v>9.7771127869785097</v>
      </c>
      <c r="O106" s="10">
        <f t="shared" ref="O106" si="47">O103-O104+O105</f>
        <v>9.7771127869785097</v>
      </c>
      <c r="P106" s="10">
        <f t="shared" ref="P106" si="48">P103-P104+P105</f>
        <v>9.7771127869785097</v>
      </c>
      <c r="Q106" s="10">
        <f t="shared" ref="Q106" si="49">Q103-Q104+Q105</f>
        <v>9.7771127869785097</v>
      </c>
      <c r="R106" s="10">
        <f t="shared" ref="R106:W106" si="50">R103-R104+R105</f>
        <v>9.7771127869785097</v>
      </c>
      <c r="S106" s="10">
        <f t="shared" si="50"/>
        <v>9.7771127869785097</v>
      </c>
      <c r="T106" s="10">
        <f t="shared" si="50"/>
        <v>9.7771127869785097</v>
      </c>
      <c r="U106" s="10">
        <f t="shared" si="50"/>
        <v>9.7771127869785097</v>
      </c>
      <c r="V106" s="10">
        <f t="shared" si="50"/>
        <v>9.7771127869785097</v>
      </c>
      <c r="W106" s="74">
        <f t="shared" si="50"/>
        <v>9.7771127869785097</v>
      </c>
    </row>
    <row r="107" spans="1:24" x14ac:dyDescent="0.4">
      <c r="B107" s="172" t="s">
        <v>29</v>
      </c>
      <c r="C107" s="173"/>
      <c r="D107" s="11">
        <f>($D$16-SUM($D$106:D106))</f>
        <v>72.867501926042991</v>
      </c>
      <c r="E107" s="12">
        <f>($D$16-SUM($D$106:E106))</f>
        <v>61.735003852085967</v>
      </c>
      <c r="F107" s="12">
        <f>($D$16-SUM($D$106:F106))</f>
        <v>50.60250577812895</v>
      </c>
      <c r="G107" s="12">
        <f>($D$16-SUM($D$106:G106))</f>
        <v>39.470007704171934</v>
      </c>
      <c r="H107" s="12">
        <f>($D$16-SUM($D$106:H106))</f>
        <v>28.337509630214917</v>
      </c>
      <c r="I107" s="12">
        <f>($D$16-SUM($D$106:I106))</f>
        <v>17.205011556257901</v>
      </c>
      <c r="J107" s="12">
        <f>($D$16-SUM($D$106:J106))</f>
        <v>6.0725134823008773</v>
      </c>
      <c r="K107" s="12">
        <f>($D$16-SUM($D$106:K106))</f>
        <v>-5.0599845916561321</v>
      </c>
      <c r="L107" s="12">
        <f>($D$16-SUM($D$106:L106))</f>
        <v>-16.192482665613142</v>
      </c>
      <c r="M107" s="12">
        <f>($D$16-SUM($D$106:M106))</f>
        <v>-27.324980739570151</v>
      </c>
      <c r="N107" s="12">
        <f>($D$16-SUM($D$106:N106))</f>
        <v>-37.102093526548657</v>
      </c>
      <c r="O107" s="12">
        <f>($D$16-SUM($D$106:O106))</f>
        <v>-46.879206313527163</v>
      </c>
      <c r="P107" s="12">
        <f>($D$16-SUM($D$106:P106))</f>
        <v>-56.656319100505669</v>
      </c>
      <c r="Q107" s="12">
        <f>($D$16-SUM($D$106:Q106))</f>
        <v>-66.433431887484176</v>
      </c>
      <c r="R107" s="12">
        <f>($D$16-SUM($D$106:R106))</f>
        <v>-76.210544674462682</v>
      </c>
      <c r="S107" s="12">
        <f>($D$16-SUM($D$106:S106))</f>
        <v>-85.987657461441188</v>
      </c>
      <c r="T107" s="12">
        <f>($D$16-SUM($D$106:T106))</f>
        <v>-95.764770248419694</v>
      </c>
      <c r="U107" s="12">
        <f>($D$16-SUM($D$106:U106))</f>
        <v>-105.5418830353982</v>
      </c>
      <c r="V107" s="12">
        <f>($D$16-SUM($D$106:V106))</f>
        <v>-115.31899582237671</v>
      </c>
      <c r="W107" s="75">
        <f>($D$16-SUM($D$106:W106))</f>
        <v>-125.09610860935521</v>
      </c>
      <c r="X107" s="21"/>
    </row>
    <row r="108" spans="1:24" x14ac:dyDescent="0.4"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21" t="s">
        <v>19</v>
      </c>
      <c r="X108" s="4"/>
    </row>
    <row r="112" spans="1:24" x14ac:dyDescent="0.4">
      <c r="A112" t="s">
        <v>73</v>
      </c>
    </row>
    <row r="113" spans="2:23" x14ac:dyDescent="0.4">
      <c r="B113" t="s">
        <v>74</v>
      </c>
    </row>
    <row r="114" spans="2:23" x14ac:dyDescent="0.4">
      <c r="B114" t="s">
        <v>75</v>
      </c>
    </row>
    <row r="115" spans="2:23" x14ac:dyDescent="0.4">
      <c r="B115" t="s">
        <v>79</v>
      </c>
    </row>
    <row r="116" spans="2:23" x14ac:dyDescent="0.4">
      <c r="B116" t="s">
        <v>109</v>
      </c>
    </row>
    <row r="117" spans="2:23" x14ac:dyDescent="0.4">
      <c r="W117" s="4" t="s">
        <v>76</v>
      </c>
    </row>
  </sheetData>
  <mergeCells count="44">
    <mergeCell ref="B106:C106"/>
    <mergeCell ref="B107:C107"/>
    <mergeCell ref="B19:C19"/>
    <mergeCell ref="B9:C9"/>
    <mergeCell ref="B10:B13"/>
    <mergeCell ref="C11:C13"/>
    <mergeCell ref="B102:C102"/>
    <mergeCell ref="B103:C103"/>
    <mergeCell ref="B104:C104"/>
    <mergeCell ref="B105:C105"/>
    <mergeCell ref="B20:B21"/>
    <mergeCell ref="B23:B24"/>
    <mergeCell ref="B33:B47"/>
    <mergeCell ref="C33:C35"/>
    <mergeCell ref="F20:I21"/>
    <mergeCell ref="F19:I19"/>
    <mergeCell ref="F23:I23"/>
    <mergeCell ref="F24:I24"/>
    <mergeCell ref="F25:I25"/>
    <mergeCell ref="F22:I22"/>
    <mergeCell ref="B14:C14"/>
    <mergeCell ref="B15:C15"/>
    <mergeCell ref="B16:C16"/>
    <mergeCell ref="C36:C38"/>
    <mergeCell ref="C39:C41"/>
    <mergeCell ref="B22:C22"/>
    <mergeCell ref="B25:C25"/>
    <mergeCell ref="F9:O9"/>
    <mergeCell ref="F10:O10"/>
    <mergeCell ref="F15:O15"/>
    <mergeCell ref="F16:O16"/>
    <mergeCell ref="F14:O14"/>
    <mergeCell ref="J11:O13"/>
    <mergeCell ref="C61:C62"/>
    <mergeCell ref="C63:C66"/>
    <mergeCell ref="B48:B66"/>
    <mergeCell ref="B29:B32"/>
    <mergeCell ref="B28:D28"/>
    <mergeCell ref="C48:C49"/>
    <mergeCell ref="C58:C60"/>
    <mergeCell ref="C31:C32"/>
    <mergeCell ref="C29:C30"/>
    <mergeCell ref="C42:C44"/>
    <mergeCell ref="C45:C47"/>
  </mergeCells>
  <phoneticPr fontId="1"/>
  <hyperlinks>
    <hyperlink ref="C48:C49" r:id="rId1" display="太陽光パネル予想発電量" xr:uid="{BB1B47E9-0239-4557-B263-3F70763A51E4}"/>
    <hyperlink ref="C29:C30" r:id="rId2" display="時刻" xr:uid="{450029B4-3804-4469-AC15-5FD25DA2FDD5}"/>
    <hyperlink ref="C5" r:id="rId3" xr:uid="{F0A58E6E-6E58-4EB7-9E60-5B4B625407C8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太陽光＋蓄電池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木村勇太</dc:creator>
  <cp:lastModifiedBy>勇太 木村</cp:lastModifiedBy>
  <dcterms:created xsi:type="dcterms:W3CDTF">2023-09-05T13:04:40Z</dcterms:created>
  <dcterms:modified xsi:type="dcterms:W3CDTF">2024-01-07T13:35:46Z</dcterms:modified>
</cp:coreProperties>
</file>